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CAOP\ID2\AD55C05F-42A6-4441-ABAB-AB8034B4D371\0\44000-44999\44955\L\L\"/>
    </mc:Choice>
  </mc:AlternateContent>
  <bookViews>
    <workbookView xWindow="1065" yWindow="105" windowWidth="8535" windowHeight="2460" tabRatio="762" activeTab="4"/>
  </bookViews>
  <sheets>
    <sheet name="Startpagina" sheetId="20" r:id="rId1"/>
    <sheet name="Technische toelichting" sheetId="14" r:id="rId2"/>
    <sheet name="Invoer gegevens" sheetId="15" r:id="rId3"/>
    <sheet name="Loonkosten" sheetId="30" r:id="rId4"/>
    <sheet name="Inkomensgevolgen" sheetId="31" r:id="rId5"/>
    <sheet name="Loonkosten uitgebreid" sheetId="13" state="hidden" r:id="rId6"/>
    <sheet name="Inkomensgevolgen uitgebreid" sheetId="32" state="hidden" r:id="rId7"/>
    <sheet name="Tabellen PO-Raad" sheetId="33" state="hidden" r:id="rId8"/>
    <sheet name="Tabellen Loonbelasting" sheetId="35" state="hidden" r:id="rId9"/>
    <sheet name="Hulptabellen" sheetId="29" state="hidden" r:id="rId10"/>
  </sheets>
  <definedNames>
    <definedName name="arbeidskorting">#REF!</definedName>
    <definedName name="Arbeidsmarkttoelage2023">'Tabellen PO-Raad'!$B$42:$C$50</definedName>
    <definedName name="Bindingstoelage2023">'Tabellen PO-Raad'!$C$52:$D$65</definedName>
    <definedName name="eindejaarsuitkering_OOP">#REF!</definedName>
    <definedName name="Inkomensgevolgen">#REF!</definedName>
    <definedName name="premies">#REF!</definedName>
    <definedName name="Print_Area" localSheetId="2">'Invoer gegevens'!$A$1:$X$40</definedName>
    <definedName name="Print_Area" localSheetId="5">'Loonkosten uitgebreid'!$A$1:$AF$77</definedName>
    <definedName name="SALARISGEGEVENS">'Invoer gegevens'!$D$11:$F$34</definedName>
    <definedName name="saltab2020">#REF!</definedName>
    <definedName name="Saltab2023">'Tabellen PO-Raad'!$A$74:$W$109</definedName>
    <definedName name="Stap_1__GEGEVENS_WERKNEMER">'Invoer gegevens'!$C$1</definedName>
    <definedName name="uitlooptoeslag">#REF!</definedName>
    <definedName name="Uitlooptoeslag2023">'Tabellen PO-Raad'!$B$26:$C$29</definedName>
    <definedName name="WERKGEVERSLASTEN_PO_2021">'Loonkosten uitgebreid'!#REF!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12" i="29" l="1"/>
  <c r="R13" i="29"/>
  <c r="H22" i="32" l="1"/>
  <c r="G23" i="32"/>
  <c r="H23" i="32"/>
  <c r="I23" i="32"/>
  <c r="J23" i="32"/>
  <c r="K23" i="32"/>
  <c r="L23" i="32"/>
  <c r="M23" i="32"/>
  <c r="D9" i="35" l="1"/>
  <c r="D14" i="35"/>
  <c r="D15" i="35"/>
  <c r="E38" i="35"/>
  <c r="E39" i="35"/>
  <c r="E40" i="35"/>
  <c r="W23" i="32"/>
  <c r="X23" i="32"/>
  <c r="R23" i="32"/>
  <c r="S23" i="32"/>
  <c r="T23" i="32"/>
  <c r="U23" i="32"/>
  <c r="V23" i="32"/>
  <c r="S22" i="32"/>
  <c r="U22" i="32"/>
  <c r="X22" i="32"/>
  <c r="M22" i="32"/>
  <c r="L22" i="32"/>
  <c r="W22" i="32" s="1"/>
  <c r="K22" i="32"/>
  <c r="V22" i="32" s="1"/>
  <c r="J22" i="32"/>
  <c r="I22" i="32"/>
  <c r="T22" i="32" s="1"/>
  <c r="G22" i="32"/>
  <c r="R22" i="32" s="1"/>
  <c r="Q45" i="13"/>
  <c r="P45" i="13"/>
  <c r="O45" i="13"/>
  <c r="N45" i="13"/>
  <c r="M45" i="13"/>
  <c r="L45" i="13"/>
  <c r="K45" i="13"/>
  <c r="Q44" i="13"/>
  <c r="P44" i="13"/>
  <c r="O44" i="13"/>
  <c r="N44" i="13"/>
  <c r="M44" i="13"/>
  <c r="L44" i="13"/>
  <c r="K44" i="13"/>
  <c r="Q43" i="13"/>
  <c r="P43" i="13"/>
  <c r="O43" i="13"/>
  <c r="N43" i="13"/>
  <c r="M43" i="13"/>
  <c r="L43" i="13"/>
  <c r="K43" i="13"/>
  <c r="Y109" i="33" l="1"/>
  <c r="X109" i="33"/>
  <c r="Y108" i="33"/>
  <c r="X108" i="33"/>
  <c r="Y107" i="33"/>
  <c r="X107" i="33"/>
  <c r="Y106" i="33"/>
  <c r="X106" i="33"/>
  <c r="Y105" i="33"/>
  <c r="X105" i="33"/>
  <c r="Y104" i="33"/>
  <c r="X104" i="33"/>
  <c r="Y103" i="33"/>
  <c r="X103" i="33"/>
  <c r="Y102" i="33"/>
  <c r="X102" i="33"/>
  <c r="Y101" i="33"/>
  <c r="X101" i="33"/>
  <c r="Y100" i="33"/>
  <c r="X100" i="33"/>
  <c r="Y99" i="33"/>
  <c r="X99" i="33"/>
  <c r="Y98" i="33"/>
  <c r="X98" i="33"/>
  <c r="Y97" i="33"/>
  <c r="X97" i="33"/>
  <c r="Y96" i="33"/>
  <c r="X96" i="33"/>
  <c r="Y95" i="33"/>
  <c r="X95" i="33"/>
  <c r="Y94" i="33"/>
  <c r="X94" i="33"/>
  <c r="Y93" i="33"/>
  <c r="X93" i="33"/>
  <c r="Y92" i="33"/>
  <c r="X92" i="33"/>
  <c r="Y91" i="33"/>
  <c r="X91" i="33"/>
  <c r="Y90" i="33"/>
  <c r="X90" i="33"/>
  <c r="Y89" i="33"/>
  <c r="X89" i="33"/>
  <c r="Y88" i="33"/>
  <c r="X88" i="33"/>
  <c r="Y87" i="33"/>
  <c r="X87" i="33"/>
  <c r="Y86" i="33"/>
  <c r="X86" i="33"/>
  <c r="Y85" i="33"/>
  <c r="X85" i="33"/>
  <c r="Y84" i="33"/>
  <c r="X84" i="33"/>
  <c r="Y83" i="33"/>
  <c r="X83" i="33"/>
  <c r="Y82" i="33"/>
  <c r="X82" i="33"/>
  <c r="Y81" i="33"/>
  <c r="X81" i="33"/>
  <c r="Y80" i="33"/>
  <c r="X80" i="33"/>
  <c r="Y79" i="33"/>
  <c r="X79" i="33"/>
  <c r="Y78" i="33"/>
  <c r="X78" i="33"/>
  <c r="Y77" i="33"/>
  <c r="X77" i="33"/>
  <c r="Y76" i="33"/>
  <c r="X76" i="33"/>
  <c r="Y75" i="33"/>
  <c r="X75" i="33"/>
  <c r="D24" i="33"/>
  <c r="C24" i="33"/>
  <c r="E24" i="33" s="1"/>
  <c r="G15" i="33"/>
  <c r="G14" i="33"/>
  <c r="G13" i="33"/>
  <c r="C13" i="33"/>
  <c r="H12" i="33"/>
  <c r="H13" i="33" s="1"/>
  <c r="H14" i="33" s="1"/>
  <c r="H15" i="33" s="1"/>
  <c r="F10" i="33"/>
  <c r="F9" i="33"/>
  <c r="B7" i="33"/>
  <c r="F4" i="33"/>
  <c r="M16" i="15" l="1"/>
  <c r="E16" i="15"/>
  <c r="N25" i="15"/>
  <c r="M25" i="15"/>
  <c r="F25" i="15"/>
  <c r="E25" i="15"/>
  <c r="F8" i="29"/>
  <c r="F7" i="29"/>
  <c r="F6" i="29"/>
  <c r="F5" i="29"/>
  <c r="E8" i="29"/>
  <c r="E7" i="29"/>
  <c r="E6" i="29"/>
  <c r="E5" i="29"/>
  <c r="D8" i="29"/>
  <c r="D7" i="29"/>
  <c r="D6" i="29"/>
  <c r="D5" i="29"/>
  <c r="C8" i="29"/>
  <c r="C7" i="29"/>
  <c r="C6" i="29"/>
  <c r="C5" i="29"/>
  <c r="AR133" i="13" l="1"/>
  <c r="BA132" i="13"/>
  <c r="AZ132" i="13"/>
  <c r="AY132" i="13"/>
  <c r="AX132" i="13"/>
  <c r="AW132" i="13"/>
  <c r="AV132" i="13"/>
  <c r="AU132" i="13"/>
  <c r="AT132" i="13"/>
  <c r="AS132" i="13"/>
  <c r="AR132" i="13"/>
  <c r="AO132" i="13"/>
  <c r="AN132" i="13"/>
  <c r="AM132" i="13"/>
  <c r="AL132" i="13"/>
  <c r="AK132" i="13"/>
  <c r="AJ132" i="13"/>
  <c r="AI132" i="13"/>
  <c r="AH132" i="13"/>
  <c r="AG132" i="13"/>
  <c r="AF132" i="13"/>
  <c r="BA131" i="13"/>
  <c r="AZ131" i="13"/>
  <c r="AY131" i="13"/>
  <c r="AX131" i="13"/>
  <c r="AW131" i="13"/>
  <c r="AV131" i="13"/>
  <c r="AU131" i="13"/>
  <c r="AT131" i="13"/>
  <c r="AS131" i="13"/>
  <c r="AR131" i="13"/>
  <c r="AO131" i="13"/>
  <c r="AN131" i="13"/>
  <c r="AM131" i="13"/>
  <c r="AL131" i="13"/>
  <c r="AK131" i="13"/>
  <c r="AJ131" i="13"/>
  <c r="AI131" i="13"/>
  <c r="AH131" i="13"/>
  <c r="AG131" i="13"/>
  <c r="AF131" i="13"/>
  <c r="BA130" i="13"/>
  <c r="AZ130" i="13"/>
  <c r="AY130" i="13"/>
  <c r="AX130" i="13"/>
  <c r="AW130" i="13"/>
  <c r="AV130" i="13"/>
  <c r="AU130" i="13"/>
  <c r="AT130" i="13"/>
  <c r="AS130" i="13"/>
  <c r="AR130" i="13"/>
  <c r="AO130" i="13"/>
  <c r="AN130" i="13"/>
  <c r="AM130" i="13"/>
  <c r="AL130" i="13"/>
  <c r="AK130" i="13"/>
  <c r="AJ130" i="13"/>
  <c r="AI130" i="13"/>
  <c r="AI133" i="13" s="1"/>
  <c r="AH130" i="13"/>
  <c r="AG130" i="13"/>
  <c r="AF130" i="13"/>
  <c r="BA129" i="13"/>
  <c r="AZ129" i="13"/>
  <c r="AY129" i="13"/>
  <c r="AX129" i="13"/>
  <c r="AW129" i="13"/>
  <c r="AV129" i="13"/>
  <c r="AU129" i="13"/>
  <c r="AT129" i="13"/>
  <c r="AS129" i="13"/>
  <c r="AR129" i="13"/>
  <c r="AO129" i="13"/>
  <c r="AN129" i="13"/>
  <c r="AM129" i="13"/>
  <c r="AL129" i="13"/>
  <c r="AK129" i="13"/>
  <c r="AJ129" i="13"/>
  <c r="AI129" i="13"/>
  <c r="AH129" i="13"/>
  <c r="AG129" i="13"/>
  <c r="AF129" i="13"/>
  <c r="BA128" i="13"/>
  <c r="AZ128" i="13"/>
  <c r="AY128" i="13"/>
  <c r="AX128" i="13"/>
  <c r="AW128" i="13"/>
  <c r="AV128" i="13"/>
  <c r="AU128" i="13"/>
  <c r="AT128" i="13"/>
  <c r="AS128" i="13"/>
  <c r="AR128" i="13"/>
  <c r="AO128" i="13"/>
  <c r="AN128" i="13"/>
  <c r="AM128" i="13"/>
  <c r="AL128" i="13"/>
  <c r="AK128" i="13"/>
  <c r="AJ128" i="13"/>
  <c r="AI128" i="13"/>
  <c r="AH128" i="13"/>
  <c r="AG128" i="13"/>
  <c r="AF128" i="13"/>
  <c r="BA127" i="13"/>
  <c r="AZ127" i="13"/>
  <c r="AY127" i="13"/>
  <c r="AX127" i="13"/>
  <c r="AW127" i="13"/>
  <c r="AV127" i="13"/>
  <c r="AU127" i="13"/>
  <c r="AT127" i="13"/>
  <c r="AS127" i="13"/>
  <c r="AR127" i="13"/>
  <c r="AO127" i="13"/>
  <c r="AN127" i="13"/>
  <c r="AM127" i="13"/>
  <c r="AL127" i="13"/>
  <c r="AK127" i="13"/>
  <c r="AJ127" i="13"/>
  <c r="AI127" i="13"/>
  <c r="AH127" i="13"/>
  <c r="AG127" i="13"/>
  <c r="AF127" i="13"/>
  <c r="BA126" i="13"/>
  <c r="AZ126" i="13"/>
  <c r="AY126" i="13"/>
  <c r="AX126" i="13"/>
  <c r="AW126" i="13"/>
  <c r="AV126" i="13"/>
  <c r="AU126" i="13"/>
  <c r="AT126" i="13"/>
  <c r="AS126" i="13"/>
  <c r="AR126" i="13"/>
  <c r="AO126" i="13"/>
  <c r="AN126" i="13"/>
  <c r="AN133" i="13" s="1"/>
  <c r="AM126" i="13"/>
  <c r="AL126" i="13"/>
  <c r="AK126" i="13"/>
  <c r="AK133" i="13" s="1"/>
  <c r="AJ126" i="13"/>
  <c r="AI126" i="13"/>
  <c r="AH126" i="13"/>
  <c r="AH133" i="13" s="1"/>
  <c r="AG126" i="13"/>
  <c r="AF126" i="13"/>
  <c r="BA120" i="13"/>
  <c r="AZ120" i="13"/>
  <c r="AY120" i="13"/>
  <c r="AX120" i="13"/>
  <c r="AW120" i="13"/>
  <c r="AV120" i="13"/>
  <c r="AU120" i="13"/>
  <c r="AT120" i="13"/>
  <c r="AS120" i="13"/>
  <c r="AR120" i="13"/>
  <c r="AO120" i="13"/>
  <c r="AN120" i="13"/>
  <c r="AM120" i="13"/>
  <c r="AL120" i="13"/>
  <c r="AK120" i="13"/>
  <c r="AJ120" i="13"/>
  <c r="AI120" i="13"/>
  <c r="AH120" i="13"/>
  <c r="AG120" i="13"/>
  <c r="AF120" i="13"/>
  <c r="BA60" i="13"/>
  <c r="AZ60" i="13"/>
  <c r="AY60" i="13"/>
  <c r="AX60" i="13"/>
  <c r="AW60" i="13"/>
  <c r="AV60" i="13"/>
  <c r="AU60" i="13"/>
  <c r="AT60" i="13"/>
  <c r="AS60" i="13"/>
  <c r="BA59" i="13"/>
  <c r="AZ59" i="13"/>
  <c r="AY59" i="13"/>
  <c r="AX59" i="13"/>
  <c r="AW59" i="13"/>
  <c r="AV59" i="13"/>
  <c r="AU59" i="13"/>
  <c r="AT59" i="13"/>
  <c r="AS59" i="13"/>
  <c r="BA58" i="13"/>
  <c r="AZ58" i="13"/>
  <c r="AY58" i="13"/>
  <c r="AX58" i="13"/>
  <c r="AW58" i="13"/>
  <c r="AV58" i="13"/>
  <c r="AU58" i="13"/>
  <c r="AT58" i="13"/>
  <c r="AS58" i="13"/>
  <c r="BA57" i="13"/>
  <c r="AZ57" i="13"/>
  <c r="AY57" i="13"/>
  <c r="AX57" i="13"/>
  <c r="AW57" i="13"/>
  <c r="AV57" i="13"/>
  <c r="AU57" i="13"/>
  <c r="AT57" i="13"/>
  <c r="AS57" i="13"/>
  <c r="BA56" i="13"/>
  <c r="AZ56" i="13"/>
  <c r="AY56" i="13"/>
  <c r="AX56" i="13"/>
  <c r="AW56" i="13"/>
  <c r="AV56" i="13"/>
  <c r="AU56" i="13"/>
  <c r="AT56" i="13"/>
  <c r="AS56" i="13"/>
  <c r="BA55" i="13"/>
  <c r="AZ55" i="13"/>
  <c r="AY55" i="13"/>
  <c r="AX55" i="13"/>
  <c r="AW55" i="13"/>
  <c r="AV55" i="13"/>
  <c r="AU55" i="13"/>
  <c r="AT55" i="13"/>
  <c r="AS55" i="13"/>
  <c r="BA54" i="13"/>
  <c r="AZ54" i="13"/>
  <c r="AY54" i="13"/>
  <c r="AX54" i="13"/>
  <c r="AW54" i="13"/>
  <c r="AV54" i="13"/>
  <c r="AU54" i="13"/>
  <c r="AT54" i="13"/>
  <c r="AS54" i="13"/>
  <c r="AR60" i="13"/>
  <c r="AR59" i="13"/>
  <c r="AR58" i="13"/>
  <c r="AR57" i="13"/>
  <c r="AR56" i="13"/>
  <c r="AR55" i="13"/>
  <c r="AR54" i="13"/>
  <c r="AO60" i="13"/>
  <c r="AN60" i="13"/>
  <c r="AM60" i="13"/>
  <c r="AL60" i="13"/>
  <c r="AK60" i="13"/>
  <c r="AJ60" i="13"/>
  <c r="AI60" i="13"/>
  <c r="AH60" i="13"/>
  <c r="AG60" i="13"/>
  <c r="AF60" i="13"/>
  <c r="AO59" i="13"/>
  <c r="AN59" i="13"/>
  <c r="AM59" i="13"/>
  <c r="AL59" i="13"/>
  <c r="AK59" i="13"/>
  <c r="AJ59" i="13"/>
  <c r="AI59" i="13"/>
  <c r="AH59" i="13"/>
  <c r="AG59" i="13"/>
  <c r="AF59" i="13"/>
  <c r="AO58" i="13"/>
  <c r="AN58" i="13"/>
  <c r="AM58" i="13"/>
  <c r="AL58" i="13"/>
  <c r="AK58" i="13"/>
  <c r="AJ58" i="13"/>
  <c r="AI58" i="13"/>
  <c r="AH58" i="13"/>
  <c r="AG58" i="13"/>
  <c r="AF58" i="13"/>
  <c r="AO57" i="13"/>
  <c r="AN57" i="13"/>
  <c r="AM57" i="13"/>
  <c r="AL57" i="13"/>
  <c r="AK57" i="13"/>
  <c r="AJ57" i="13"/>
  <c r="AI57" i="13"/>
  <c r="AH57" i="13"/>
  <c r="AG57" i="13"/>
  <c r="AF57" i="13"/>
  <c r="AO56" i="13"/>
  <c r="AN56" i="13"/>
  <c r="AM56" i="13"/>
  <c r="AL56" i="13"/>
  <c r="AK56" i="13"/>
  <c r="AJ56" i="13"/>
  <c r="AI56" i="13"/>
  <c r="AH56" i="13"/>
  <c r="AG56" i="13"/>
  <c r="AF56" i="13"/>
  <c r="AO55" i="13"/>
  <c r="AN55" i="13"/>
  <c r="AM55" i="13"/>
  <c r="AL55" i="13"/>
  <c r="AK55" i="13"/>
  <c r="AJ55" i="13"/>
  <c r="AI55" i="13"/>
  <c r="AH55" i="13"/>
  <c r="AG55" i="13"/>
  <c r="AF55" i="13"/>
  <c r="AO54" i="13"/>
  <c r="AN54" i="13"/>
  <c r="AM54" i="13"/>
  <c r="AL54" i="13"/>
  <c r="AK54" i="13"/>
  <c r="AJ54" i="13"/>
  <c r="AI54" i="13"/>
  <c r="AH54" i="13"/>
  <c r="AG54" i="13"/>
  <c r="AF54" i="13"/>
  <c r="AZ48" i="13"/>
  <c r="AO48" i="13"/>
  <c r="AN48" i="13"/>
  <c r="AM48" i="13"/>
  <c r="AL48" i="13"/>
  <c r="AK48" i="13"/>
  <c r="AJ48" i="13"/>
  <c r="AI48" i="13"/>
  <c r="AH48" i="13"/>
  <c r="AG48" i="13"/>
  <c r="AF48" i="13"/>
  <c r="BA48" i="13"/>
  <c r="AY48" i="13"/>
  <c r="AX48" i="13"/>
  <c r="AF133" i="13" l="1"/>
  <c r="AL133" i="13"/>
  <c r="AO133" i="13"/>
  <c r="AG133" i="13"/>
  <c r="AJ133" i="13"/>
  <c r="AM133" i="13"/>
  <c r="K12" i="30" l="1"/>
  <c r="F12" i="30"/>
  <c r="B9" i="32" l="1"/>
  <c r="D13" i="31" l="1"/>
  <c r="K13" i="31"/>
  <c r="F25" i="30"/>
  <c r="D9" i="13" l="1"/>
  <c r="G57" i="30"/>
  <c r="F57" i="30"/>
  <c r="N59" i="30" l="1"/>
  <c r="I59" i="30"/>
  <c r="F28" i="15" l="1"/>
  <c r="F29" i="30" s="1"/>
  <c r="M15" i="29"/>
  <c r="M16" i="29" s="1"/>
  <c r="M17" i="29" s="1"/>
  <c r="M18" i="29" s="1"/>
  <c r="M19" i="29" s="1"/>
  <c r="M20" i="29" s="1"/>
  <c r="M21" i="29" s="1"/>
  <c r="C17" i="31"/>
  <c r="AP26" i="13"/>
  <c r="M22" i="29" l="1"/>
  <c r="M23" i="29" s="1"/>
  <c r="M24" i="29" s="1"/>
  <c r="M25" i="29" s="1"/>
  <c r="G19" i="15"/>
  <c r="R12" i="29" s="1"/>
  <c r="T12" i="29" s="1"/>
  <c r="G20" i="15"/>
  <c r="S13" i="29" s="1"/>
  <c r="T13" i="29" s="1"/>
  <c r="G40" i="30"/>
  <c r="K25" i="30"/>
  <c r="F24" i="30"/>
  <c r="K24" i="30" s="1"/>
  <c r="T95" i="13"/>
  <c r="T97" i="13"/>
  <c r="T94" i="13"/>
  <c r="AR94" i="13" s="1"/>
  <c r="BB94" i="13"/>
  <c r="H97" i="13"/>
  <c r="H94" i="13"/>
  <c r="AF94" i="13" s="1"/>
  <c r="F104" i="13" s="1"/>
  <c r="R92" i="13"/>
  <c r="AD92" i="13" s="1"/>
  <c r="AP92" i="13" s="1"/>
  <c r="H95" i="13"/>
  <c r="AR61" i="13"/>
  <c r="T25" i="13"/>
  <c r="T23" i="13"/>
  <c r="T22" i="13"/>
  <c r="T24" i="13" l="1"/>
  <c r="T96" i="13"/>
  <c r="H96" i="13"/>
  <c r="H99" i="13" s="1"/>
  <c r="F105" i="13"/>
  <c r="G105" i="13" s="1"/>
  <c r="T105" i="13" s="1"/>
  <c r="G25" i="30"/>
  <c r="L25" i="30" s="1"/>
  <c r="G24" i="30"/>
  <c r="L24" i="30" s="1"/>
  <c r="H26" i="13"/>
  <c r="BB92" i="13"/>
  <c r="T26" i="13" l="1"/>
  <c r="AF26" i="13" s="1"/>
  <c r="T99" i="13"/>
  <c r="AF99" i="13"/>
  <c r="H105" i="13"/>
  <c r="AR26" i="13" l="1"/>
  <c r="AR99" i="13"/>
  <c r="AR105" i="13"/>
  <c r="AF105" i="13"/>
  <c r="BB22" i="13" l="1"/>
  <c r="AD20" i="13"/>
  <c r="AP20" i="13" s="1"/>
  <c r="H25" i="13"/>
  <c r="H23" i="13"/>
  <c r="H22" i="13"/>
  <c r="H20" i="13"/>
  <c r="D15" i="32" s="1"/>
  <c r="H24" i="13" l="1"/>
  <c r="F103" i="13"/>
  <c r="F102" i="13"/>
  <c r="G102" i="13" s="1"/>
  <c r="F33" i="13"/>
  <c r="G33" i="13" s="1"/>
  <c r="F30" i="13"/>
  <c r="G30" i="13" s="1"/>
  <c r="F31" i="13"/>
  <c r="D46" i="32"/>
  <c r="O15" i="32"/>
  <c r="BB20" i="13"/>
  <c r="I20" i="13"/>
  <c r="H92" i="13"/>
  <c r="T92" i="13" s="1"/>
  <c r="AF92" i="13" s="1"/>
  <c r="AR92" i="13" s="1"/>
  <c r="T20" i="13"/>
  <c r="I105" i="13" l="1"/>
  <c r="T102" i="13"/>
  <c r="H102" i="13"/>
  <c r="G104" i="13"/>
  <c r="G103" i="13"/>
  <c r="AF20" i="13"/>
  <c r="AR20" i="13" s="1"/>
  <c r="H30" i="13"/>
  <c r="T30" i="13" s="1"/>
  <c r="AR30" i="13" s="1"/>
  <c r="H33" i="13"/>
  <c r="AF33" i="13" s="1"/>
  <c r="I33" i="13"/>
  <c r="AG33" i="13" s="1"/>
  <c r="G31" i="13"/>
  <c r="G32" i="13"/>
  <c r="J20" i="13"/>
  <c r="E15" i="32"/>
  <c r="O46" i="32"/>
  <c r="Z15" i="32"/>
  <c r="Z46" i="32"/>
  <c r="AK46" i="32" s="1"/>
  <c r="I92" i="13"/>
  <c r="U20" i="13"/>
  <c r="I25" i="13"/>
  <c r="I22" i="13"/>
  <c r="U22" i="13"/>
  <c r="AS22" i="13" s="1"/>
  <c r="I54" i="30"/>
  <c r="N54" i="30"/>
  <c r="I31" i="13" l="1"/>
  <c r="AG31" i="13" s="1"/>
  <c r="U105" i="13"/>
  <c r="U104" i="13"/>
  <c r="AS104" i="13" s="1"/>
  <c r="K20" i="13"/>
  <c r="K92" i="13" s="1"/>
  <c r="J32" i="13"/>
  <c r="AH32" i="13" s="1"/>
  <c r="J104" i="13"/>
  <c r="AH104" i="13" s="1"/>
  <c r="J105" i="13"/>
  <c r="AH105" i="13" s="1"/>
  <c r="T33" i="13"/>
  <c r="AR33" i="13" s="1"/>
  <c r="T103" i="13"/>
  <c r="H103" i="13"/>
  <c r="T101" i="13"/>
  <c r="AR102" i="13"/>
  <c r="T100" i="13"/>
  <c r="I23" i="13"/>
  <c r="I24" i="13" s="1"/>
  <c r="I27" i="13" s="1"/>
  <c r="AG27" i="13" s="1"/>
  <c r="H32" i="13"/>
  <c r="T32" i="13" s="1"/>
  <c r="AR32" i="13" s="1"/>
  <c r="T104" i="13"/>
  <c r="H104" i="13"/>
  <c r="AG105" i="13"/>
  <c r="I104" i="13"/>
  <c r="AG104" i="13" s="1"/>
  <c r="H31" i="13"/>
  <c r="T31" i="13" s="1"/>
  <c r="AR31" i="13" s="1"/>
  <c r="AF102" i="13"/>
  <c r="H101" i="13"/>
  <c r="H100" i="13"/>
  <c r="I32" i="13"/>
  <c r="AG32" i="13" s="1"/>
  <c r="K33" i="13"/>
  <c r="AI33" i="13" s="1"/>
  <c r="I30" i="13"/>
  <c r="AG30" i="13" s="1"/>
  <c r="U23" i="13"/>
  <c r="U24" i="13" s="1"/>
  <c r="J33" i="13"/>
  <c r="AH33" i="13" s="1"/>
  <c r="J25" i="13"/>
  <c r="J92" i="13"/>
  <c r="J94" i="13" s="1"/>
  <c r="J102" i="13" s="1"/>
  <c r="AH102" i="13" s="1"/>
  <c r="U25" i="13"/>
  <c r="I26" i="13"/>
  <c r="J22" i="13"/>
  <c r="J30" i="13" s="1"/>
  <c r="AH30" i="13" s="1"/>
  <c r="V20" i="13"/>
  <c r="AH20" i="13" s="1"/>
  <c r="AK15" i="32"/>
  <c r="E46" i="32"/>
  <c r="P15" i="32"/>
  <c r="I97" i="13"/>
  <c r="J26" i="13"/>
  <c r="V26" i="13" s="1"/>
  <c r="AH26" i="13" s="1"/>
  <c r="AT26" i="13" s="1"/>
  <c r="G15" i="32"/>
  <c r="F15" i="32"/>
  <c r="AG20" i="13"/>
  <c r="I94" i="13"/>
  <c r="I102" i="13" s="1"/>
  <c r="AG102" i="13" s="1"/>
  <c r="U92" i="13"/>
  <c r="W20" i="13"/>
  <c r="L20" i="13"/>
  <c r="K25" i="13"/>
  <c r="B15" i="31"/>
  <c r="K40" i="30"/>
  <c r="F40" i="30"/>
  <c r="K38" i="30"/>
  <c r="L37" i="30"/>
  <c r="K37" i="30"/>
  <c r="G37" i="30"/>
  <c r="G39" i="30" s="1"/>
  <c r="F37" i="30"/>
  <c r="F39" i="30" s="1"/>
  <c r="K28" i="30"/>
  <c r="L40" i="30" s="1"/>
  <c r="F28" i="30"/>
  <c r="K19" i="30"/>
  <c r="F19" i="30"/>
  <c r="K18" i="30"/>
  <c r="F18" i="30"/>
  <c r="B14" i="30"/>
  <c r="K22" i="13" l="1"/>
  <c r="K30" i="13" s="1"/>
  <c r="AI30" i="13" s="1"/>
  <c r="I103" i="13"/>
  <c r="AG103" i="13" s="1"/>
  <c r="J103" i="13"/>
  <c r="AH103" i="13" s="1"/>
  <c r="K39" i="30"/>
  <c r="J31" i="13"/>
  <c r="AH31" i="13" s="1"/>
  <c r="L38" i="30"/>
  <c r="L39" i="30" s="1"/>
  <c r="AF31" i="13"/>
  <c r="L104" i="13"/>
  <c r="AJ104" i="13" s="1"/>
  <c r="L32" i="13"/>
  <c r="AJ32" i="13" s="1"/>
  <c r="L105" i="13"/>
  <c r="AJ105" i="13" s="1"/>
  <c r="K97" i="13"/>
  <c r="V105" i="13"/>
  <c r="AT105" i="13" s="1"/>
  <c r="V104" i="13"/>
  <c r="AT104" i="13" s="1"/>
  <c r="I95" i="13"/>
  <c r="I96" i="13" s="1"/>
  <c r="AF104" i="13"/>
  <c r="T106" i="13"/>
  <c r="T119" i="13"/>
  <c r="T121" i="13"/>
  <c r="AR121" i="13" s="1"/>
  <c r="AR100" i="13"/>
  <c r="AR101" i="13"/>
  <c r="H121" i="13"/>
  <c r="H119" i="13"/>
  <c r="AF100" i="13"/>
  <c r="H106" i="13"/>
  <c r="AR104" i="13"/>
  <c r="AF103" i="13"/>
  <c r="AS105" i="13"/>
  <c r="W104" i="13"/>
  <c r="AU104" i="13" s="1"/>
  <c r="W105" i="13"/>
  <c r="AU105" i="13" s="1"/>
  <c r="U26" i="13"/>
  <c r="AF101" i="13"/>
  <c r="AR103" i="13"/>
  <c r="K104" i="13"/>
  <c r="AI104" i="13" s="1"/>
  <c r="K31" i="13"/>
  <c r="AI31" i="13" s="1"/>
  <c r="K32" i="13"/>
  <c r="AI32" i="13" s="1"/>
  <c r="K105" i="13"/>
  <c r="AI105" i="13" s="1"/>
  <c r="I29" i="13"/>
  <c r="AG29" i="13" s="1"/>
  <c r="I28" i="13"/>
  <c r="AG28" i="13" s="1"/>
  <c r="L33" i="13"/>
  <c r="AJ33" i="13" s="1"/>
  <c r="J97" i="13"/>
  <c r="V92" i="13"/>
  <c r="J23" i="13"/>
  <c r="K23" i="13" s="1"/>
  <c r="K24" i="13" s="1"/>
  <c r="V22" i="13"/>
  <c r="AT22" i="13" s="1"/>
  <c r="V25" i="13"/>
  <c r="Q15" i="32"/>
  <c r="F46" i="32"/>
  <c r="G46" i="32"/>
  <c r="R15" i="32"/>
  <c r="K26" i="13"/>
  <c r="W26" i="13" s="1"/>
  <c r="AI26" i="13" s="1"/>
  <c r="AU26" i="13" s="1"/>
  <c r="H15" i="32"/>
  <c r="AA15" i="32"/>
  <c r="P46" i="32"/>
  <c r="AA46" i="32"/>
  <c r="AS20" i="13"/>
  <c r="AS133" i="13" s="1"/>
  <c r="K94" i="13"/>
  <c r="K102" i="13" s="1"/>
  <c r="W92" i="13"/>
  <c r="AG92" i="13"/>
  <c r="U97" i="13"/>
  <c r="U94" i="13"/>
  <c r="U103" i="13" s="1"/>
  <c r="AS103" i="13" s="1"/>
  <c r="L92" i="13"/>
  <c r="U30" i="13"/>
  <c r="AS30" i="13" s="1"/>
  <c r="V30" i="13"/>
  <c r="AT30" i="13" s="1"/>
  <c r="AT33" i="13"/>
  <c r="AT20" i="13"/>
  <c r="AT133" i="13" s="1"/>
  <c r="X20" i="13"/>
  <c r="AI20" i="13"/>
  <c r="W25" i="13"/>
  <c r="W22" i="13"/>
  <c r="AU22" i="13" s="1"/>
  <c r="M20" i="13"/>
  <c r="L25" i="13"/>
  <c r="L22" i="13"/>
  <c r="L30" i="13" s="1"/>
  <c r="AJ30" i="13" s="1"/>
  <c r="K103" i="13" l="1"/>
  <c r="AI103" i="13" s="1"/>
  <c r="L31" i="13"/>
  <c r="AJ31" i="13" s="1"/>
  <c r="AI102" i="13"/>
  <c r="M32" i="13"/>
  <c r="AK32" i="13" s="1"/>
  <c r="M104" i="13"/>
  <c r="AK104" i="13" s="1"/>
  <c r="M105" i="13"/>
  <c r="AK105" i="13" s="1"/>
  <c r="X104" i="13"/>
  <c r="AV104" i="13" s="1"/>
  <c r="X105" i="13"/>
  <c r="AV105" i="13" s="1"/>
  <c r="AS94" i="13"/>
  <c r="U102" i="13"/>
  <c r="V97" i="13"/>
  <c r="AG34" i="13"/>
  <c r="AG35" i="13" s="1"/>
  <c r="AG36" i="13" s="1"/>
  <c r="J41" i="13" s="1"/>
  <c r="AG26" i="13"/>
  <c r="J24" i="13"/>
  <c r="J27" i="13" s="1"/>
  <c r="AH27" i="13" s="1"/>
  <c r="AF119" i="13"/>
  <c r="H122" i="13"/>
  <c r="H107" i="13"/>
  <c r="AF121" i="13"/>
  <c r="T122" i="13"/>
  <c r="AR119" i="13"/>
  <c r="AR122" i="13" s="1"/>
  <c r="U95" i="13"/>
  <c r="U96" i="13" s="1"/>
  <c r="AF106" i="13"/>
  <c r="AR106" i="13"/>
  <c r="T107" i="13"/>
  <c r="I99" i="13"/>
  <c r="J95" i="13"/>
  <c r="J96" i="13" s="1"/>
  <c r="M33" i="13"/>
  <c r="AK33" i="13" s="1"/>
  <c r="V23" i="13"/>
  <c r="W23" i="13" s="1"/>
  <c r="W24" i="13" s="1"/>
  <c r="I49" i="13"/>
  <c r="I47" i="13"/>
  <c r="AG47" i="13" s="1"/>
  <c r="V94" i="13"/>
  <c r="V103" i="13" s="1"/>
  <c r="AT103" i="13" s="1"/>
  <c r="AH92" i="13"/>
  <c r="AT92" i="13" s="1"/>
  <c r="L23" i="13"/>
  <c r="L24" i="13" s="1"/>
  <c r="K27" i="13"/>
  <c r="AI27" i="13" s="1"/>
  <c r="AL46" i="32"/>
  <c r="H46" i="32"/>
  <c r="S15" i="32"/>
  <c r="R46" i="32"/>
  <c r="AC15" i="32"/>
  <c r="AC46" i="32"/>
  <c r="AB15" i="32"/>
  <c r="Q46" i="32"/>
  <c r="AB46" i="32"/>
  <c r="AL15" i="32"/>
  <c r="I15" i="32"/>
  <c r="L97" i="13"/>
  <c r="AG61" i="13"/>
  <c r="AS61" i="13"/>
  <c r="L94" i="13"/>
  <c r="X92" i="13"/>
  <c r="AI92" i="13"/>
  <c r="W97" i="13"/>
  <c r="W94" i="13"/>
  <c r="M92" i="13"/>
  <c r="L26" i="13"/>
  <c r="X26" i="13" s="1"/>
  <c r="AS92" i="13"/>
  <c r="W30" i="13"/>
  <c r="AU30" i="13" s="1"/>
  <c r="AT61" i="13"/>
  <c r="AU33" i="13"/>
  <c r="AU20" i="13"/>
  <c r="AU133" i="13" s="1"/>
  <c r="AJ20" i="13"/>
  <c r="X25" i="13"/>
  <c r="X22" i="13"/>
  <c r="AV22" i="13" s="1"/>
  <c r="AH61" i="13"/>
  <c r="Y20" i="13"/>
  <c r="N20" i="13"/>
  <c r="M22" i="13"/>
  <c r="M30" i="13" s="1"/>
  <c r="AK30" i="13" s="1"/>
  <c r="M25" i="13"/>
  <c r="W102" i="13" l="1"/>
  <c r="AU102" i="13" s="1"/>
  <c r="W103" i="13"/>
  <c r="AU103" i="13" s="1"/>
  <c r="L102" i="13"/>
  <c r="AJ102" i="13" s="1"/>
  <c r="L103" i="13"/>
  <c r="AJ103" i="13" s="1"/>
  <c r="M31" i="13"/>
  <c r="AK31" i="13" s="1"/>
  <c r="AG99" i="13"/>
  <c r="I100" i="13"/>
  <c r="I121" i="13" s="1"/>
  <c r="I101" i="13"/>
  <c r="AF107" i="13"/>
  <c r="U99" i="13"/>
  <c r="AT94" i="13"/>
  <c r="V102" i="13"/>
  <c r="AT102" i="13" s="1"/>
  <c r="AR107" i="13"/>
  <c r="V24" i="13"/>
  <c r="AS26" i="13"/>
  <c r="Y105" i="13"/>
  <c r="AW105" i="13" s="1"/>
  <c r="Y104" i="13"/>
  <c r="AW104" i="13" s="1"/>
  <c r="N104" i="13"/>
  <c r="AL104" i="13" s="1"/>
  <c r="N32" i="13"/>
  <c r="AL32" i="13" s="1"/>
  <c r="N105" i="13"/>
  <c r="AL105" i="13" s="1"/>
  <c r="N102" i="13"/>
  <c r="AL102" i="13" s="1"/>
  <c r="K95" i="13"/>
  <c r="K96" i="13" s="1"/>
  <c r="J99" i="13"/>
  <c r="O48" i="32"/>
  <c r="O56" i="32"/>
  <c r="D56" i="32"/>
  <c r="D48" i="32"/>
  <c r="K20" i="31" s="1"/>
  <c r="AF122" i="13"/>
  <c r="V95" i="13"/>
  <c r="V96" i="13" s="1"/>
  <c r="AS102" i="13"/>
  <c r="P56" i="32"/>
  <c r="N33" i="13"/>
  <c r="AL33" i="13" s="1"/>
  <c r="N30" i="13"/>
  <c r="AL30" i="13" s="1"/>
  <c r="J29" i="13"/>
  <c r="AH29" i="13" s="1"/>
  <c r="J28" i="13"/>
  <c r="X23" i="13"/>
  <c r="X24" i="13" s="1"/>
  <c r="K28" i="13"/>
  <c r="AI28" i="13" s="1"/>
  <c r="K29" i="13"/>
  <c r="AI29" i="13" s="1"/>
  <c r="M23" i="13"/>
  <c r="M24" i="13" s="1"/>
  <c r="L27" i="13"/>
  <c r="AJ27" i="13" s="1"/>
  <c r="M26" i="13"/>
  <c r="Y26" i="13" s="1"/>
  <c r="AK26" i="13" s="1"/>
  <c r="AW26" i="13" s="1"/>
  <c r="J15" i="32"/>
  <c r="M97" i="13"/>
  <c r="T15" i="32"/>
  <c r="I46" i="32"/>
  <c r="AM15" i="32"/>
  <c r="AN15" i="32"/>
  <c r="S46" i="32"/>
  <c r="AD46" i="32"/>
  <c r="AD15" i="32"/>
  <c r="AM46" i="32"/>
  <c r="AN46" i="32"/>
  <c r="AJ26" i="13"/>
  <c r="Y33" i="13"/>
  <c r="AJ92" i="13"/>
  <c r="X97" i="13"/>
  <c r="X94" i="13"/>
  <c r="Y92" i="13"/>
  <c r="M94" i="13"/>
  <c r="AU92" i="13"/>
  <c r="N92" i="13"/>
  <c r="AU94" i="13"/>
  <c r="X30" i="13"/>
  <c r="AV30" i="13" s="1"/>
  <c r="AU61" i="13"/>
  <c r="AV33" i="13"/>
  <c r="AK20" i="13"/>
  <c r="Y30" i="13"/>
  <c r="AW30" i="13" s="1"/>
  <c r="Y25" i="13"/>
  <c r="Y22" i="13"/>
  <c r="AW22" i="13" s="1"/>
  <c r="AV20" i="13"/>
  <c r="AV133" i="13" s="1"/>
  <c r="AI61" i="13"/>
  <c r="Z20" i="13"/>
  <c r="V33" i="13"/>
  <c r="O20" i="13"/>
  <c r="N26" i="13" s="1"/>
  <c r="Z26" i="13" s="1"/>
  <c r="AL26" i="13" s="1"/>
  <c r="AX26" i="13" s="1"/>
  <c r="N22" i="13"/>
  <c r="N25" i="13"/>
  <c r="H80" i="13"/>
  <c r="H81" i="13"/>
  <c r="H84" i="13"/>
  <c r="M102" i="13" l="1"/>
  <c r="AK102" i="13" s="1"/>
  <c r="M103" i="13"/>
  <c r="AK103" i="13" s="1"/>
  <c r="N23" i="13"/>
  <c r="N24" i="13" s="1"/>
  <c r="N27" i="13" s="1"/>
  <c r="X102" i="13"/>
  <c r="AV102" i="13" s="1"/>
  <c r="X103" i="13"/>
  <c r="AV103" i="13" s="1"/>
  <c r="N31" i="13"/>
  <c r="AL31" i="13" s="1"/>
  <c r="J21" i="32"/>
  <c r="U21" i="32" s="1"/>
  <c r="AF23" i="32"/>
  <c r="AI34" i="13"/>
  <c r="AI35" i="13" s="1"/>
  <c r="AI36" i="13" s="1"/>
  <c r="L41" i="13" s="1"/>
  <c r="I119" i="13"/>
  <c r="I122" i="13" s="1"/>
  <c r="AS99" i="13"/>
  <c r="U100" i="13"/>
  <c r="U119" i="13" s="1"/>
  <c r="U101" i="13"/>
  <c r="O32" i="13"/>
  <c r="AM32" i="13" s="1"/>
  <c r="O104" i="13"/>
  <c r="AM104" i="13" s="1"/>
  <c r="O105" i="13"/>
  <c r="AM105" i="13" s="1"/>
  <c r="O102" i="13"/>
  <c r="AM102" i="13" s="1"/>
  <c r="Z104" i="13"/>
  <c r="AX104" i="13" s="1"/>
  <c r="Z102" i="13"/>
  <c r="AX102" i="13" s="1"/>
  <c r="Z105" i="13"/>
  <c r="AX105" i="13" s="1"/>
  <c r="L95" i="13"/>
  <c r="L96" i="13" s="1"/>
  <c r="K99" i="13"/>
  <c r="AR108" i="13"/>
  <c r="AK48" i="32"/>
  <c r="AK56" i="32"/>
  <c r="AG121" i="13"/>
  <c r="W95" i="13"/>
  <c r="W96" i="13" s="1"/>
  <c r="Z48" i="32"/>
  <c r="M20" i="31" s="1"/>
  <c r="Z56" i="32"/>
  <c r="AF108" i="13"/>
  <c r="AG101" i="13"/>
  <c r="M27" i="13"/>
  <c r="AK27" i="13" s="1"/>
  <c r="AH99" i="13"/>
  <c r="J100" i="13"/>
  <c r="J121" i="13" s="1"/>
  <c r="AH121" i="13" s="1"/>
  <c r="J101" i="13"/>
  <c r="AH101" i="13" s="1"/>
  <c r="V99" i="13"/>
  <c r="AG119" i="13"/>
  <c r="AG100" i="13"/>
  <c r="I106" i="13"/>
  <c r="J47" i="13"/>
  <c r="AH47" i="13" s="1"/>
  <c r="AH28" i="13"/>
  <c r="AH34" i="13" s="1"/>
  <c r="AH35" i="13" s="1"/>
  <c r="AH36" i="13" s="1"/>
  <c r="K41" i="13" s="1"/>
  <c r="M28" i="13"/>
  <c r="AK28" i="13" s="1"/>
  <c r="K47" i="13"/>
  <c r="AI47" i="13" s="1"/>
  <c r="J49" i="13"/>
  <c r="AH49" i="13" s="1"/>
  <c r="V28" i="13"/>
  <c r="O33" i="13"/>
  <c r="AM33" i="13" s="1"/>
  <c r="O30" i="13"/>
  <c r="AM30" i="13" s="1"/>
  <c r="L28" i="13"/>
  <c r="AJ28" i="13" s="1"/>
  <c r="L29" i="13"/>
  <c r="AJ29" i="13" s="1"/>
  <c r="K49" i="13"/>
  <c r="AI49" i="13" s="1"/>
  <c r="Y23" i="13"/>
  <c r="Y24" i="13" s="1"/>
  <c r="V29" i="13"/>
  <c r="AT29" i="13" s="1"/>
  <c r="W29" i="13"/>
  <c r="AU29" i="13" s="1"/>
  <c r="AU28" i="13"/>
  <c r="W28" i="13"/>
  <c r="AV26" i="13"/>
  <c r="K15" i="32"/>
  <c r="AE15" i="32"/>
  <c r="AE46" i="32"/>
  <c r="T46" i="32"/>
  <c r="AO46" i="32"/>
  <c r="AO15" i="32"/>
  <c r="N97" i="13"/>
  <c r="J46" i="32"/>
  <c r="AF22" i="32"/>
  <c r="U15" i="32"/>
  <c r="N94" i="13"/>
  <c r="N103" i="13" s="1"/>
  <c r="AL103" i="13" s="1"/>
  <c r="Z92" i="13"/>
  <c r="AK92" i="13"/>
  <c r="Y97" i="13"/>
  <c r="Y94" i="13"/>
  <c r="Y103" i="13" s="1"/>
  <c r="AW103" i="13" s="1"/>
  <c r="AV94" i="13"/>
  <c r="AV92" i="13"/>
  <c r="O92" i="13"/>
  <c r="AV61" i="13"/>
  <c r="W33" i="13"/>
  <c r="AJ61" i="13"/>
  <c r="AW20" i="13"/>
  <c r="AW133" i="13" s="1"/>
  <c r="AL20" i="13"/>
  <c r="Z32" i="13"/>
  <c r="AX32" i="13" s="1"/>
  <c r="Z31" i="13"/>
  <c r="AX31" i="13" s="1"/>
  <c r="Z30" i="13"/>
  <c r="AX30" i="13" s="1"/>
  <c r="Z25" i="13"/>
  <c r="Z22" i="13"/>
  <c r="AX22" i="13" s="1"/>
  <c r="Z33" i="13"/>
  <c r="AA20" i="13"/>
  <c r="P20" i="13"/>
  <c r="O26" i="13" s="1"/>
  <c r="AA26" i="13" s="1"/>
  <c r="AM26" i="13" s="1"/>
  <c r="AY26" i="13" s="1"/>
  <c r="O25" i="13"/>
  <c r="O22" i="13"/>
  <c r="B6" i="29"/>
  <c r="AL27" i="13" l="1"/>
  <c r="N29" i="13"/>
  <c r="N28" i="13"/>
  <c r="N47" i="13" s="1"/>
  <c r="O23" i="13"/>
  <c r="O24" i="13" s="1"/>
  <c r="O27" i="13" s="1"/>
  <c r="Z23" i="13"/>
  <c r="O31" i="13"/>
  <c r="AM31" i="13" s="1"/>
  <c r="Z24" i="13"/>
  <c r="Z27" i="13" s="1"/>
  <c r="AX27" i="13" s="1"/>
  <c r="AG23" i="32"/>
  <c r="K21" i="32"/>
  <c r="V21" i="32" s="1"/>
  <c r="X28" i="13"/>
  <c r="M29" i="13"/>
  <c r="AK29" i="13" s="1"/>
  <c r="AK34" i="13" s="1"/>
  <c r="AK35" i="13" s="1"/>
  <c r="AK36" i="13" s="1"/>
  <c r="J119" i="13"/>
  <c r="AH119" i="13" s="1"/>
  <c r="AH122" i="13" s="1"/>
  <c r="L49" i="13"/>
  <c r="AJ49" i="13" s="1"/>
  <c r="V100" i="13"/>
  <c r="V119" i="13" s="1"/>
  <c r="AT99" i="13"/>
  <c r="V101" i="13"/>
  <c r="AT101" i="13" s="1"/>
  <c r="AA104" i="13"/>
  <c r="AA105" i="13"/>
  <c r="AA102" i="13"/>
  <c r="AY102" i="13" s="1"/>
  <c r="AW94" i="13"/>
  <c r="Y102" i="13"/>
  <c r="I107" i="13"/>
  <c r="AH100" i="13"/>
  <c r="AH106" i="13" s="1"/>
  <c r="AH107" i="13" s="1"/>
  <c r="J106" i="13"/>
  <c r="J107" i="13" s="1"/>
  <c r="L99" i="13"/>
  <c r="M95" i="13"/>
  <c r="AS100" i="13"/>
  <c r="U106" i="13"/>
  <c r="U121" i="13"/>
  <c r="AS121" i="13" s="1"/>
  <c r="AG106" i="13"/>
  <c r="AG122" i="13"/>
  <c r="Z49" i="32"/>
  <c r="D54" i="32"/>
  <c r="Z54" i="32" s="1"/>
  <c r="H112" i="13"/>
  <c r="D53" i="32"/>
  <c r="Z53" i="32" s="1"/>
  <c r="H113" i="13"/>
  <c r="H114" i="13"/>
  <c r="D52" i="32"/>
  <c r="Z52" i="32" s="1"/>
  <c r="H108" i="13"/>
  <c r="I112" i="13"/>
  <c r="AG112" i="13" s="1"/>
  <c r="I114" i="13"/>
  <c r="I113" i="13"/>
  <c r="E52" i="32"/>
  <c r="AA52" i="32" s="1"/>
  <c r="E53" i="32"/>
  <c r="AA53" i="32" s="1"/>
  <c r="X95" i="13"/>
  <c r="X96" i="13" s="1"/>
  <c r="W99" i="13"/>
  <c r="AS119" i="13"/>
  <c r="P32" i="13"/>
  <c r="AN32" i="13" s="1"/>
  <c r="P104" i="13"/>
  <c r="AN104" i="13" s="1"/>
  <c r="P102" i="13"/>
  <c r="AN102" i="13" s="1"/>
  <c r="P105" i="13"/>
  <c r="AN105" i="13" s="1"/>
  <c r="T108" i="13"/>
  <c r="O49" i="32" s="1"/>
  <c r="AK49" i="32"/>
  <c r="O54" i="32"/>
  <c r="AK54" i="32" s="1"/>
  <c r="O53" i="32"/>
  <c r="AK53" i="32" s="1"/>
  <c r="O52" i="32"/>
  <c r="T113" i="13"/>
  <c r="T114" i="13"/>
  <c r="T112" i="13"/>
  <c r="Q53" i="32"/>
  <c r="AM53" i="32" s="1"/>
  <c r="Q52" i="32"/>
  <c r="AI99" i="13"/>
  <c r="K100" i="13"/>
  <c r="K119" i="13" s="1"/>
  <c r="K101" i="13"/>
  <c r="AS101" i="13"/>
  <c r="AJ34" i="13"/>
  <c r="AJ35" i="13" s="1"/>
  <c r="AJ36" i="13" s="1"/>
  <c r="M41" i="13" s="1"/>
  <c r="X29" i="13"/>
  <c r="AV29" i="13" s="1"/>
  <c r="L47" i="13"/>
  <c r="AJ47" i="13" s="1"/>
  <c r="P33" i="13"/>
  <c r="AN33" i="13" s="1"/>
  <c r="P30" i="13"/>
  <c r="AN30" i="13" s="1"/>
  <c r="M47" i="13"/>
  <c r="AK47" i="13" s="1"/>
  <c r="AT28" i="13"/>
  <c r="M49" i="13"/>
  <c r="AK49" i="13" s="1"/>
  <c r="AV28" i="13"/>
  <c r="J24" i="32"/>
  <c r="J26" i="32" s="1"/>
  <c r="AF21" i="32"/>
  <c r="AF24" i="32" s="1"/>
  <c r="AF26" i="32" s="1"/>
  <c r="K46" i="32"/>
  <c r="AG22" i="32"/>
  <c r="V15" i="32"/>
  <c r="O97" i="13"/>
  <c r="AP46" i="32"/>
  <c r="AF15" i="32"/>
  <c r="AF46" i="32"/>
  <c r="U46" i="32"/>
  <c r="AQ23" i="32"/>
  <c r="AQ22" i="32"/>
  <c r="AP15" i="32"/>
  <c r="L15" i="32"/>
  <c r="AW28" i="13"/>
  <c r="Y28" i="13"/>
  <c r="Y29" i="13"/>
  <c r="AW29" i="13" s="1"/>
  <c r="B7" i="29"/>
  <c r="AL92" i="13"/>
  <c r="Z97" i="13"/>
  <c r="Z94" i="13"/>
  <c r="P92" i="13"/>
  <c r="O94" i="13"/>
  <c r="O103" i="13" s="1"/>
  <c r="AM103" i="13" s="1"/>
  <c r="AA92" i="13"/>
  <c r="AW92" i="13"/>
  <c r="AW61" i="13"/>
  <c r="AW33" i="13"/>
  <c r="X33" i="13"/>
  <c r="AX20" i="13"/>
  <c r="AX133" i="13" s="1"/>
  <c r="AB20" i="13"/>
  <c r="AM20" i="13"/>
  <c r="AA33" i="13"/>
  <c r="AA32" i="13"/>
  <c r="AY32" i="13" s="1"/>
  <c r="AA30" i="13"/>
  <c r="AY30" i="13" s="1"/>
  <c r="AA25" i="13"/>
  <c r="AA22" i="13"/>
  <c r="AY22" i="13" s="1"/>
  <c r="AK61" i="13"/>
  <c r="Q20" i="13"/>
  <c r="P26" i="13" s="1"/>
  <c r="AB26" i="13" s="1"/>
  <c r="AN26" i="13" s="1"/>
  <c r="P25" i="13"/>
  <c r="P22" i="13"/>
  <c r="J122" i="13" l="1"/>
  <c r="V121" i="13"/>
  <c r="AT121" i="13" s="1"/>
  <c r="AA31" i="13"/>
  <c r="AY31" i="13" s="1"/>
  <c r="AL47" i="13"/>
  <c r="AM27" i="13"/>
  <c r="O28" i="13"/>
  <c r="O29" i="13"/>
  <c r="AX94" i="13"/>
  <c r="Z103" i="13"/>
  <c r="AX103" i="13" s="1"/>
  <c r="P31" i="13"/>
  <c r="AN31" i="13" s="1"/>
  <c r="M96" i="13"/>
  <c r="M99" i="13" s="1"/>
  <c r="N95" i="13"/>
  <c r="AL29" i="13"/>
  <c r="Z29" i="13"/>
  <c r="AX29" i="13" s="1"/>
  <c r="N49" i="13"/>
  <c r="AL49" i="13" s="1"/>
  <c r="P23" i="13"/>
  <c r="P24" i="13" s="1"/>
  <c r="P27" i="13" s="1"/>
  <c r="AA23" i="13"/>
  <c r="AA24" i="13" s="1"/>
  <c r="AA27" i="13" s="1"/>
  <c r="AY27" i="13" s="1"/>
  <c r="N41" i="13"/>
  <c r="N42" i="13"/>
  <c r="AL28" i="13"/>
  <c r="N34" i="13"/>
  <c r="N35" i="13" s="1"/>
  <c r="Z28" i="13"/>
  <c r="AH23" i="32"/>
  <c r="L21" i="32"/>
  <c r="W21" i="32" s="1"/>
  <c r="AS122" i="13"/>
  <c r="U122" i="13"/>
  <c r="Z55" i="32"/>
  <c r="Z57" i="32" s="1"/>
  <c r="K121" i="13"/>
  <c r="AI121" i="13" s="1"/>
  <c r="AI119" i="13"/>
  <c r="W100" i="13"/>
  <c r="W119" i="13" s="1"/>
  <c r="AU99" i="13"/>
  <c r="W101" i="13"/>
  <c r="W121" i="13"/>
  <c r="AU121" i="13" s="1"/>
  <c r="AT119" i="13"/>
  <c r="Q104" i="13"/>
  <c r="AO104" i="13" s="1"/>
  <c r="Q32" i="13"/>
  <c r="AO32" i="13" s="1"/>
  <c r="Q105" i="13"/>
  <c r="AO105" i="13" s="1"/>
  <c r="Q102" i="13"/>
  <c r="AO102" i="13" s="1"/>
  <c r="AB105" i="13"/>
  <c r="AZ105" i="13" s="1"/>
  <c r="AB104" i="13"/>
  <c r="AZ104" i="13" s="1"/>
  <c r="AB102" i="13"/>
  <c r="AZ102" i="13" s="1"/>
  <c r="D49" i="32"/>
  <c r="AG107" i="13"/>
  <c r="AS106" i="13"/>
  <c r="E56" i="32"/>
  <c r="E48" i="32"/>
  <c r="AI101" i="13"/>
  <c r="O55" i="32"/>
  <c r="O57" i="32" s="1"/>
  <c r="O58" i="32" s="1"/>
  <c r="AK52" i="32"/>
  <c r="F56" i="32"/>
  <c r="F48" i="32"/>
  <c r="AY105" i="13"/>
  <c r="V106" i="13"/>
  <c r="V107" i="13" s="1"/>
  <c r="AT100" i="13"/>
  <c r="AT106" i="13" s="1"/>
  <c r="AT107" i="13" s="1"/>
  <c r="AI100" i="13"/>
  <c r="K106" i="13"/>
  <c r="K107" i="13" s="1"/>
  <c r="AM52" i="32"/>
  <c r="AB56" i="32"/>
  <c r="AH108" i="13"/>
  <c r="AB48" i="32"/>
  <c r="Y95" i="13"/>
  <c r="X99" i="13"/>
  <c r="U107" i="13"/>
  <c r="AJ99" i="13"/>
  <c r="L100" i="13"/>
  <c r="L119" i="13" s="1"/>
  <c r="L101" i="13"/>
  <c r="AJ101" i="13" s="1"/>
  <c r="AW102" i="13"/>
  <c r="AY104" i="13"/>
  <c r="Q33" i="13"/>
  <c r="AO33" i="13" s="1"/>
  <c r="Q30" i="13"/>
  <c r="AO30" i="13" s="1"/>
  <c r="W15" i="32"/>
  <c r="AH22" i="32"/>
  <c r="L46" i="32"/>
  <c r="AF65" i="32"/>
  <c r="J65" i="32" s="1"/>
  <c r="AQ46" i="32"/>
  <c r="AG15" i="32"/>
  <c r="AR22" i="32"/>
  <c r="V46" i="32"/>
  <c r="AR23" i="32"/>
  <c r="AG46" i="32"/>
  <c r="U24" i="32"/>
  <c r="U26" i="32" s="1"/>
  <c r="AQ21" i="32"/>
  <c r="AQ24" i="32" s="1"/>
  <c r="AQ26" i="32" s="1"/>
  <c r="AF34" i="32"/>
  <c r="J34" i="32" s="1"/>
  <c r="AQ15" i="32"/>
  <c r="AG21" i="32"/>
  <c r="AG24" i="32" s="1"/>
  <c r="AG26" i="32" s="1"/>
  <c r="K24" i="32"/>
  <c r="K26" i="32" s="1"/>
  <c r="M15" i="32"/>
  <c r="AK50" i="13"/>
  <c r="M50" i="13"/>
  <c r="B8" i="29"/>
  <c r="P97" i="13"/>
  <c r="AM92" i="13"/>
  <c r="AA97" i="13"/>
  <c r="AA94" i="13"/>
  <c r="AB92" i="13"/>
  <c r="P94" i="13"/>
  <c r="P103" i="13" s="1"/>
  <c r="AN103" i="13" s="1"/>
  <c r="Q92" i="13"/>
  <c r="Q26" i="13"/>
  <c r="AC26" i="13" s="1"/>
  <c r="AO26" i="13" s="1"/>
  <c r="AP130" i="13" s="1"/>
  <c r="AZ26" i="13"/>
  <c r="AX92" i="13"/>
  <c r="AX61" i="13"/>
  <c r="AX33" i="13"/>
  <c r="AC20" i="13"/>
  <c r="AY20" i="13"/>
  <c r="AY133" i="13" s="1"/>
  <c r="AL61" i="13"/>
  <c r="AN20" i="13"/>
  <c r="AB33" i="13"/>
  <c r="AB32" i="13"/>
  <c r="AZ32" i="13" s="1"/>
  <c r="AB30" i="13"/>
  <c r="AZ30" i="13" s="1"/>
  <c r="AB31" i="13"/>
  <c r="AZ31" i="13" s="1"/>
  <c r="AB25" i="13"/>
  <c r="AB22" i="13"/>
  <c r="AZ22" i="13" s="1"/>
  <c r="Q25" i="13"/>
  <c r="Q22" i="13"/>
  <c r="Q23" i="13" s="1"/>
  <c r="AT122" i="13" l="1"/>
  <c r="V122" i="13"/>
  <c r="AL50" i="13"/>
  <c r="AN27" i="13"/>
  <c r="P29" i="13"/>
  <c r="P28" i="13"/>
  <c r="P49" i="13" s="1"/>
  <c r="AN49" i="13" s="1"/>
  <c r="AB23" i="13"/>
  <c r="Y96" i="13"/>
  <c r="Z95" i="13"/>
  <c r="AB24" i="13"/>
  <c r="AB27" i="13" s="1"/>
  <c r="AZ27" i="13" s="1"/>
  <c r="Z34" i="13"/>
  <c r="Z35" i="13" s="1"/>
  <c r="AA49" i="13"/>
  <c r="AY49" i="13" s="1"/>
  <c r="AL41" i="13"/>
  <c r="Z41" i="13"/>
  <c r="AX41" i="13" s="1"/>
  <c r="Z47" i="13"/>
  <c r="AM28" i="13"/>
  <c r="AA28" i="13"/>
  <c r="O34" i="13"/>
  <c r="O35" i="13" s="1"/>
  <c r="AY94" i="13"/>
  <c r="AA103" i="13"/>
  <c r="AY103" i="13" s="1"/>
  <c r="Q31" i="13"/>
  <c r="AO31" i="13" s="1"/>
  <c r="Q24" i="13"/>
  <c r="Q27" i="13" s="1"/>
  <c r="J25" i="32"/>
  <c r="J27" i="32" s="1"/>
  <c r="J17" i="32"/>
  <c r="AA47" i="13"/>
  <c r="N96" i="13"/>
  <c r="N99" i="13" s="1"/>
  <c r="O95" i="13"/>
  <c r="AM29" i="13"/>
  <c r="AA29" i="13"/>
  <c r="AY29" i="13" s="1"/>
  <c r="O47" i="13"/>
  <c r="N50" i="13"/>
  <c r="AX28" i="13"/>
  <c r="AX34" i="13" s="1"/>
  <c r="AX35" i="13" s="1"/>
  <c r="AL34" i="13"/>
  <c r="AL35" i="13" s="1"/>
  <c r="AL42" i="13"/>
  <c r="Z42" i="13"/>
  <c r="AX42" i="13" s="1"/>
  <c r="O49" i="13"/>
  <c r="AM49" i="13" s="1"/>
  <c r="M21" i="32"/>
  <c r="X21" i="32" s="1"/>
  <c r="AI23" i="32"/>
  <c r="K122" i="13"/>
  <c r="M21" i="31"/>
  <c r="Z58" i="32"/>
  <c r="Z59" i="32" s="1"/>
  <c r="L121" i="13"/>
  <c r="AJ121" i="13" s="1"/>
  <c r="AP104" i="13"/>
  <c r="AJ119" i="13"/>
  <c r="AT108" i="13"/>
  <c r="AM56" i="32"/>
  <c r="AM48" i="32"/>
  <c r="W122" i="13"/>
  <c r="AU119" i="13"/>
  <c r="AU122" i="13" s="1"/>
  <c r="AK99" i="13"/>
  <c r="M101" i="13"/>
  <c r="AK101" i="13" s="1"/>
  <c r="M100" i="13"/>
  <c r="M119" i="13" s="1"/>
  <c r="AC104" i="13"/>
  <c r="AC105" i="13"/>
  <c r="AC102" i="13"/>
  <c r="R102" i="13"/>
  <c r="R127" i="13"/>
  <c r="Y99" i="13"/>
  <c r="R133" i="13"/>
  <c r="AI106" i="13"/>
  <c r="R128" i="13"/>
  <c r="R129" i="13"/>
  <c r="AP105" i="13"/>
  <c r="AP127" i="13"/>
  <c r="R130" i="13"/>
  <c r="AG108" i="13"/>
  <c r="F54" i="32" s="1"/>
  <c r="AB54" i="32" s="1"/>
  <c r="AA56" i="32"/>
  <c r="AA48" i="32"/>
  <c r="R120" i="13"/>
  <c r="AI122" i="13"/>
  <c r="R132" i="13"/>
  <c r="P48" i="32"/>
  <c r="Q56" i="32"/>
  <c r="AV99" i="13"/>
  <c r="X100" i="13"/>
  <c r="AV100" i="13" s="1"/>
  <c r="X101" i="13"/>
  <c r="AP133" i="13"/>
  <c r="AP128" i="13"/>
  <c r="AP120" i="13"/>
  <c r="AP102" i="13"/>
  <c r="AP131" i="13"/>
  <c r="AS107" i="13"/>
  <c r="R131" i="13"/>
  <c r="AU100" i="13"/>
  <c r="AP132" i="13"/>
  <c r="AJ100" i="13"/>
  <c r="AJ106" i="13" s="1"/>
  <c r="AJ107" i="13" s="1"/>
  <c r="L106" i="13"/>
  <c r="R104" i="13"/>
  <c r="AD120" i="13"/>
  <c r="AP126" i="13"/>
  <c r="J108" i="13"/>
  <c r="F49" i="32" s="1"/>
  <c r="K113" i="13"/>
  <c r="AI113" i="13" s="1"/>
  <c r="K114" i="13"/>
  <c r="AI114" i="13" s="1"/>
  <c r="K112" i="13"/>
  <c r="G52" i="32"/>
  <c r="AC52" i="32" s="1"/>
  <c r="G53" i="32"/>
  <c r="AC53" i="32" s="1"/>
  <c r="AB49" i="32"/>
  <c r="G56" i="32"/>
  <c r="G48" i="32"/>
  <c r="Q48" i="32"/>
  <c r="R56" i="32"/>
  <c r="AP129" i="13"/>
  <c r="R126" i="13"/>
  <c r="T116" i="13"/>
  <c r="T117" i="13"/>
  <c r="T115" i="13"/>
  <c r="O59" i="32"/>
  <c r="R105" i="13"/>
  <c r="W106" i="13"/>
  <c r="AU101" i="13"/>
  <c r="AG65" i="32"/>
  <c r="K65" i="32" s="1"/>
  <c r="AR46" i="32"/>
  <c r="AQ34" i="32"/>
  <c r="U34" i="32" s="1"/>
  <c r="AG34" i="32"/>
  <c r="K34" i="32" s="1"/>
  <c r="AR15" i="32"/>
  <c r="AH21" i="32"/>
  <c r="AH24" i="32" s="1"/>
  <c r="AH26" i="32" s="1"/>
  <c r="L24" i="32"/>
  <c r="L26" i="32" s="1"/>
  <c r="Q97" i="13"/>
  <c r="M46" i="32"/>
  <c r="X15" i="32"/>
  <c r="AI22" i="32"/>
  <c r="AH46" i="32"/>
  <c r="AS22" i="32"/>
  <c r="AH15" i="32"/>
  <c r="W46" i="32"/>
  <c r="AS23" i="32"/>
  <c r="V24" i="32"/>
  <c r="V26" i="32" s="1"/>
  <c r="AR21" i="32"/>
  <c r="AR24" i="32" s="1"/>
  <c r="AR26" i="32" s="1"/>
  <c r="AQ65" i="32"/>
  <c r="U65" i="32" s="1"/>
  <c r="B9" i="29"/>
  <c r="D9" i="29" s="1"/>
  <c r="AP48" i="13"/>
  <c r="R33" i="13"/>
  <c r="R30" i="13"/>
  <c r="BA26" i="13"/>
  <c r="BB128" i="13" s="1"/>
  <c r="Q94" i="13"/>
  <c r="Q103" i="13" s="1"/>
  <c r="AO103" i="13" s="1"/>
  <c r="AP103" i="13" s="1"/>
  <c r="AC92" i="13"/>
  <c r="AB97" i="13"/>
  <c r="AB94" i="13"/>
  <c r="AN92" i="13"/>
  <c r="AY92" i="13"/>
  <c r="AY61" i="13"/>
  <c r="AY33" i="13"/>
  <c r="AZ20" i="13"/>
  <c r="AZ133" i="13" s="1"/>
  <c r="AM61" i="13"/>
  <c r="AO20" i="13"/>
  <c r="AC32" i="13"/>
  <c r="BA32" i="13" s="1"/>
  <c r="AC31" i="13"/>
  <c r="BA31" i="13" s="1"/>
  <c r="AC30" i="13"/>
  <c r="BA30" i="13" s="1"/>
  <c r="AC25" i="13"/>
  <c r="AC22" i="13"/>
  <c r="BA22" i="13" s="1"/>
  <c r="AC33" i="13"/>
  <c r="P47" i="13" l="1"/>
  <c r="P50" i="13" s="1"/>
  <c r="AX36" i="13"/>
  <c r="AQ18" i="32" s="1"/>
  <c r="AQ27" i="32"/>
  <c r="AQ28" i="32" s="1"/>
  <c r="AQ25" i="32"/>
  <c r="AQ17" i="32"/>
  <c r="AL99" i="13"/>
  <c r="N101" i="13"/>
  <c r="N100" i="13"/>
  <c r="N121" i="13"/>
  <c r="AL121" i="13" s="1"/>
  <c r="N119" i="13"/>
  <c r="R103" i="13"/>
  <c r="AY47" i="13"/>
  <c r="AY50" i="13" s="1"/>
  <c r="AA50" i="13"/>
  <c r="AO27" i="13"/>
  <c r="Q28" i="13"/>
  <c r="Q47" i="13" s="1"/>
  <c r="Q29" i="13"/>
  <c r="K25" i="32"/>
  <c r="K27" i="32" s="1"/>
  <c r="K17" i="32"/>
  <c r="AX47" i="13"/>
  <c r="Z96" i="13"/>
  <c r="Z99" i="13" s="1"/>
  <c r="AA95" i="13"/>
  <c r="AN47" i="13"/>
  <c r="AN50" i="13" s="1"/>
  <c r="AZ94" i="13"/>
  <c r="AB103" i="13"/>
  <c r="AZ103" i="13" s="1"/>
  <c r="AC23" i="13"/>
  <c r="AC24" i="13" s="1"/>
  <c r="AC27" i="13" s="1"/>
  <c r="AL36" i="13"/>
  <c r="AF17" i="32"/>
  <c r="AF27" i="32"/>
  <c r="AF28" i="32" s="1"/>
  <c r="AF25" i="32"/>
  <c r="AA34" i="13"/>
  <c r="AA35" i="13" s="1"/>
  <c r="AB49" i="13"/>
  <c r="AZ49" i="13" s="1"/>
  <c r="U17" i="32"/>
  <c r="U25" i="32"/>
  <c r="U27" i="32" s="1"/>
  <c r="U28" i="32" s="1"/>
  <c r="AN28" i="13"/>
  <c r="AB28" i="13"/>
  <c r="AB47" i="13" s="1"/>
  <c r="P34" i="13"/>
  <c r="P35" i="13" s="1"/>
  <c r="AM47" i="13"/>
  <c r="AM50" i="13" s="1"/>
  <c r="O50" i="13"/>
  <c r="O96" i="13"/>
  <c r="O99" i="13" s="1"/>
  <c r="P95" i="13"/>
  <c r="J28" i="32"/>
  <c r="AM34" i="13"/>
  <c r="AM35" i="13" s="1"/>
  <c r="AY28" i="13"/>
  <c r="AY34" i="13" s="1"/>
  <c r="AY35" i="13" s="1"/>
  <c r="AN29" i="13"/>
  <c r="AB29" i="13"/>
  <c r="AZ29" i="13" s="1"/>
  <c r="AJ122" i="13"/>
  <c r="L122" i="13"/>
  <c r="X119" i="13"/>
  <c r="AV119" i="13" s="1"/>
  <c r="Y100" i="13"/>
  <c r="Y119" i="13" s="1"/>
  <c r="AW99" i="13"/>
  <c r="Y101" i="13"/>
  <c r="Y121" i="13"/>
  <c r="AW121" i="13" s="1"/>
  <c r="AC115" i="13"/>
  <c r="BA115" i="13" s="1"/>
  <c r="AI112" i="13"/>
  <c r="AS108" i="13"/>
  <c r="R54" i="32" s="1"/>
  <c r="AN54" i="32" s="1"/>
  <c r="AL56" i="32"/>
  <c r="AL48" i="32"/>
  <c r="X121" i="13"/>
  <c r="I108" i="13"/>
  <c r="J112" i="13"/>
  <c r="J114" i="13"/>
  <c r="AH114" i="13" s="1"/>
  <c r="J113" i="13"/>
  <c r="E54" i="32"/>
  <c r="AA54" i="32" s="1"/>
  <c r="AA55" i="32" s="1"/>
  <c r="AA58" i="32" s="1"/>
  <c r="F53" i="32"/>
  <c r="AB53" i="32" s="1"/>
  <c r="AA49" i="32"/>
  <c r="F52" i="32"/>
  <c r="AI107" i="13"/>
  <c r="BB131" i="13"/>
  <c r="BB126" i="13"/>
  <c r="BB129" i="13"/>
  <c r="AK100" i="13"/>
  <c r="AK106" i="13" s="1"/>
  <c r="AK107" i="13" s="1"/>
  <c r="M106" i="13"/>
  <c r="M107" i="13" s="1"/>
  <c r="W112" i="13"/>
  <c r="W114" i="13"/>
  <c r="AU114" i="13" s="1"/>
  <c r="W113" i="13"/>
  <c r="AU113" i="13" s="1"/>
  <c r="S52" i="32"/>
  <c r="AM49" i="32"/>
  <c r="S53" i="32"/>
  <c r="AO53" i="32" s="1"/>
  <c r="V108" i="13"/>
  <c r="Q49" i="32" s="1"/>
  <c r="O60" i="32"/>
  <c r="O61" i="32" s="1"/>
  <c r="O62" i="32" s="1"/>
  <c r="P60" i="32"/>
  <c r="L107" i="13"/>
  <c r="X106" i="13"/>
  <c r="X107" i="13" s="1"/>
  <c r="AV101" i="13"/>
  <c r="AV106" i="13" s="1"/>
  <c r="AV107" i="13" s="1"/>
  <c r="BB130" i="13"/>
  <c r="BB132" i="13"/>
  <c r="BB120" i="13"/>
  <c r="BA102" i="13"/>
  <c r="BB102" i="13" s="1"/>
  <c r="AD102" i="13"/>
  <c r="AK119" i="13"/>
  <c r="W107" i="13"/>
  <c r="T118" i="13"/>
  <c r="T123" i="13" s="1"/>
  <c r="AJ108" i="13"/>
  <c r="AD56" i="32"/>
  <c r="AD48" i="32"/>
  <c r="AU106" i="13"/>
  <c r="BB127" i="13"/>
  <c r="BA105" i="13"/>
  <c r="BB105" i="13" s="1"/>
  <c r="AD105" i="13"/>
  <c r="BA104" i="13"/>
  <c r="BB104" i="13" s="1"/>
  <c r="AD104" i="13"/>
  <c r="M121" i="13"/>
  <c r="F9" i="29"/>
  <c r="C9" i="29"/>
  <c r="E9" i="29"/>
  <c r="AH34" i="32"/>
  <c r="L34" i="32" s="1"/>
  <c r="AS15" i="32"/>
  <c r="M24" i="32"/>
  <c r="M26" i="32" s="1"/>
  <c r="AI21" i="32"/>
  <c r="AI24" i="32" s="1"/>
  <c r="AI26" i="32" s="1"/>
  <c r="AI15" i="32"/>
  <c r="X46" i="32"/>
  <c r="AT23" i="32"/>
  <c r="AI46" i="32"/>
  <c r="AT22" i="32"/>
  <c r="AS21" i="32"/>
  <c r="AS24" i="32" s="1"/>
  <c r="AS26" i="32" s="1"/>
  <c r="W24" i="32"/>
  <c r="W26" i="32" s="1"/>
  <c r="AH65" i="32"/>
  <c r="L65" i="32" s="1"/>
  <c r="AS46" i="32"/>
  <c r="AR65" i="32"/>
  <c r="V65" i="32" s="1"/>
  <c r="L20" i="31"/>
  <c r="AR34" i="32"/>
  <c r="V34" i="32" s="1"/>
  <c r="B10" i="29"/>
  <c r="D10" i="29" s="1"/>
  <c r="AZ92" i="13"/>
  <c r="AO92" i="13"/>
  <c r="AC97" i="13"/>
  <c r="AC94" i="13"/>
  <c r="AZ61" i="13"/>
  <c r="AP33" i="13"/>
  <c r="AZ33" i="13"/>
  <c r="AP59" i="13"/>
  <c r="AP54" i="13"/>
  <c r="AP55" i="13"/>
  <c r="BA20" i="13"/>
  <c r="BA133" i="13" s="1"/>
  <c r="BB133" i="13" s="1"/>
  <c r="AP56" i="13"/>
  <c r="AP60" i="13"/>
  <c r="AP58" i="13"/>
  <c r="AP57" i="13"/>
  <c r="AN61" i="13"/>
  <c r="E55" i="32" l="1"/>
  <c r="E57" i="32" s="1"/>
  <c r="E58" i="32" s="1"/>
  <c r="E59" i="32" s="1"/>
  <c r="X122" i="13"/>
  <c r="AY36" i="13"/>
  <c r="AR18" i="32" s="1"/>
  <c r="AR27" i="32"/>
  <c r="AR28" i="32" s="1"/>
  <c r="AR17" i="32"/>
  <c r="AR25" i="32"/>
  <c r="AO47" i="13"/>
  <c r="BA27" i="13"/>
  <c r="Z100" i="13"/>
  <c r="Z121" i="13" s="1"/>
  <c r="AX121" i="13" s="1"/>
  <c r="Z101" i="13"/>
  <c r="AX101" i="13" s="1"/>
  <c r="Z119" i="13"/>
  <c r="AX99" i="13"/>
  <c r="AB50" i="13"/>
  <c r="AZ47" i="13"/>
  <c r="AZ50" i="13" s="1"/>
  <c r="AL43" i="13"/>
  <c r="Z43" i="13"/>
  <c r="AX43" i="13" s="1"/>
  <c r="AM99" i="13"/>
  <c r="O101" i="13"/>
  <c r="AM101" i="13" s="1"/>
  <c r="O100" i="13"/>
  <c r="O121" i="13"/>
  <c r="AM121" i="13" s="1"/>
  <c r="O119" i="13"/>
  <c r="AN34" i="13"/>
  <c r="AN35" i="13" s="1"/>
  <c r="AZ28" i="13"/>
  <c r="AZ34" i="13" s="1"/>
  <c r="AZ35" i="13" s="1"/>
  <c r="AA96" i="13"/>
  <c r="AA99" i="13" s="1"/>
  <c r="AB95" i="13"/>
  <c r="K28" i="32"/>
  <c r="Q49" i="13"/>
  <c r="AO49" i="13" s="1"/>
  <c r="BA94" i="13"/>
  <c r="AC103" i="13"/>
  <c r="AL44" i="13"/>
  <c r="AF29" i="32" s="1"/>
  <c r="AF30" i="32" s="1"/>
  <c r="J29" i="32"/>
  <c r="J30" i="32" s="1"/>
  <c r="J31" i="32" s="1"/>
  <c r="Z44" i="13"/>
  <c r="P99" i="13"/>
  <c r="P96" i="13"/>
  <c r="Q95" i="13"/>
  <c r="L17" i="32"/>
  <c r="L25" i="32"/>
  <c r="L27" i="32" s="1"/>
  <c r="V17" i="32"/>
  <c r="V25" i="32"/>
  <c r="V27" i="32" s="1"/>
  <c r="V28" i="32" s="1"/>
  <c r="AO29" i="13"/>
  <c r="AC29" i="13"/>
  <c r="BA29" i="13" s="1"/>
  <c r="N106" i="13"/>
  <c r="AL100" i="13"/>
  <c r="AM36" i="13"/>
  <c r="AG17" i="32"/>
  <c r="AG27" i="32"/>
  <c r="AG28" i="32" s="1"/>
  <c r="AG25" i="32"/>
  <c r="AL45" i="13"/>
  <c r="Z45" i="13"/>
  <c r="AX45" i="13" s="1"/>
  <c r="AC49" i="13"/>
  <c r="BA49" i="13" s="1"/>
  <c r="AB34" i="13"/>
  <c r="AB35" i="13" s="1"/>
  <c r="N36" i="13"/>
  <c r="N40" i="13"/>
  <c r="O41" i="13"/>
  <c r="O42" i="13"/>
  <c r="AF18" i="32"/>
  <c r="Q34" i="13"/>
  <c r="Q35" i="13" s="1"/>
  <c r="AC28" i="13"/>
  <c r="AO28" i="13"/>
  <c r="N122" i="13"/>
  <c r="AL119" i="13"/>
  <c r="AL122" i="13" s="1"/>
  <c r="AL101" i="13"/>
  <c r="AV108" i="13"/>
  <c r="AO56" i="32"/>
  <c r="AO48" i="32"/>
  <c r="Y122" i="13"/>
  <c r="AW119" i="13"/>
  <c r="AK121" i="13"/>
  <c r="AK122" i="13" s="1"/>
  <c r="L108" i="13"/>
  <c r="H49" i="32" s="1"/>
  <c r="M112" i="13"/>
  <c r="M114" i="13"/>
  <c r="AK114" i="13" s="1"/>
  <c r="M113" i="13"/>
  <c r="AK113" i="13" s="1"/>
  <c r="AD49" i="32"/>
  <c r="I53" i="32"/>
  <c r="AE53" i="32" s="1"/>
  <c r="I52" i="32"/>
  <c r="AE52" i="32" s="1"/>
  <c r="R48" i="32"/>
  <c r="S56" i="32"/>
  <c r="H56" i="32"/>
  <c r="H48" i="32"/>
  <c r="AO52" i="32"/>
  <c r="I56" i="32"/>
  <c r="I48" i="32"/>
  <c r="AH113" i="13"/>
  <c r="E49" i="32"/>
  <c r="U112" i="13"/>
  <c r="U114" i="13"/>
  <c r="U113" i="13"/>
  <c r="U108" i="13"/>
  <c r="P49" i="32" s="1"/>
  <c r="V112" i="13"/>
  <c r="P54" i="32"/>
  <c r="AL54" i="32" s="1"/>
  <c r="V114" i="13"/>
  <c r="AT114" i="13" s="1"/>
  <c r="P52" i="32"/>
  <c r="P53" i="32"/>
  <c r="AL53" i="32" s="1"/>
  <c r="V113" i="13"/>
  <c r="AT113" i="13" s="1"/>
  <c r="AL49" i="32"/>
  <c r="Q54" i="32"/>
  <c r="R53" i="32"/>
  <c r="AN53" i="32" s="1"/>
  <c r="R52" i="32"/>
  <c r="AE56" i="32"/>
  <c r="AK108" i="13"/>
  <c r="AE48" i="32"/>
  <c r="AU112" i="13"/>
  <c r="AI108" i="13"/>
  <c r="AC56" i="32"/>
  <c r="AC48" i="32"/>
  <c r="Y106" i="13"/>
  <c r="AW100" i="13"/>
  <c r="AU107" i="13"/>
  <c r="M122" i="13"/>
  <c r="S48" i="32"/>
  <c r="T56" i="32"/>
  <c r="AB52" i="32"/>
  <c r="AB55" i="32" s="1"/>
  <c r="F55" i="32"/>
  <c r="F57" i="32" s="1"/>
  <c r="F58" i="32" s="1"/>
  <c r="AH112" i="13"/>
  <c r="AV121" i="13"/>
  <c r="AV122" i="13" s="1"/>
  <c r="AW101" i="13"/>
  <c r="E10" i="29"/>
  <c r="C10" i="29"/>
  <c r="F10" i="29"/>
  <c r="AS65" i="32"/>
  <c r="W65" i="32" s="1"/>
  <c r="AA57" i="32"/>
  <c r="AI65" i="32"/>
  <c r="M65" i="32" s="1"/>
  <c r="AT46" i="32"/>
  <c r="N20" i="31"/>
  <c r="AI34" i="32"/>
  <c r="M34" i="32" s="1"/>
  <c r="AT15" i="32"/>
  <c r="X24" i="32"/>
  <c r="X26" i="32" s="1"/>
  <c r="AT21" i="32"/>
  <c r="AT24" i="32" s="1"/>
  <c r="AT26" i="32" s="1"/>
  <c r="AS34" i="32"/>
  <c r="W34" i="32" s="1"/>
  <c r="B11" i="29"/>
  <c r="D11" i="29" s="1"/>
  <c r="BB54" i="13"/>
  <c r="BB56" i="13"/>
  <c r="BB55" i="13"/>
  <c r="BB57" i="13"/>
  <c r="BB59" i="13"/>
  <c r="BB58" i="13"/>
  <c r="BB60" i="13"/>
  <c r="BA92" i="13"/>
  <c r="BA61" i="13"/>
  <c r="BB61" i="13" s="1"/>
  <c r="BA33" i="13"/>
  <c r="AO61" i="13"/>
  <c r="AR22" i="13"/>
  <c r="R60" i="13"/>
  <c r="R59" i="13"/>
  <c r="R58" i="13"/>
  <c r="R57" i="13"/>
  <c r="J117" i="13" l="1"/>
  <c r="J116" i="13"/>
  <c r="AH116" i="13" s="1"/>
  <c r="I115" i="13"/>
  <c r="AC34" i="13"/>
  <c r="AC35" i="13" s="1"/>
  <c r="AO50" i="13"/>
  <c r="AF31" i="32"/>
  <c r="AF33" i="32" s="1"/>
  <c r="J33" i="32" s="1"/>
  <c r="AF32" i="32"/>
  <c r="AA100" i="13"/>
  <c r="AA119" i="13" s="1"/>
  <c r="AA101" i="13"/>
  <c r="AY99" i="13"/>
  <c r="AZ36" i="13"/>
  <c r="AS18" i="32" s="1"/>
  <c r="AS27" i="32"/>
  <c r="AS28" i="32" s="1"/>
  <c r="AS25" i="32"/>
  <c r="AS17" i="32"/>
  <c r="U52" i="32"/>
  <c r="U53" i="32"/>
  <c r="AQ53" i="32" s="1"/>
  <c r="AO34" i="13"/>
  <c r="AO35" i="13" s="1"/>
  <c r="BA28" i="13"/>
  <c r="BA34" i="13" s="1"/>
  <c r="BA35" i="13" s="1"/>
  <c r="BA36" i="13" s="1"/>
  <c r="AL40" i="13"/>
  <c r="AL46" i="13" s="1"/>
  <c r="Z40" i="13"/>
  <c r="N46" i="13"/>
  <c r="W17" i="32"/>
  <c r="W25" i="32"/>
  <c r="W27" i="32" s="1"/>
  <c r="W28" i="32" s="1"/>
  <c r="N107" i="13"/>
  <c r="AN99" i="13"/>
  <c r="P101" i="13"/>
  <c r="P100" i="13"/>
  <c r="P121" i="13"/>
  <c r="P119" i="13"/>
  <c r="BA103" i="13"/>
  <c r="BB103" i="13" s="1"/>
  <c r="AD103" i="13"/>
  <c r="AM45" i="13"/>
  <c r="AA45" i="13"/>
  <c r="AY45" i="13" s="1"/>
  <c r="AB99" i="13"/>
  <c r="AB96" i="13"/>
  <c r="AC95" i="13"/>
  <c r="O122" i="13"/>
  <c r="AM119" i="13"/>
  <c r="AX119" i="13"/>
  <c r="AX122" i="13" s="1"/>
  <c r="Z122" i="13"/>
  <c r="Z106" i="13"/>
  <c r="Z107" i="13" s="1"/>
  <c r="AX100" i="13"/>
  <c r="AX106" i="13" s="1"/>
  <c r="Q50" i="13"/>
  <c r="N112" i="13"/>
  <c r="N114" i="13"/>
  <c r="AL114" i="13" s="1"/>
  <c r="N113" i="13"/>
  <c r="AL113" i="13" s="1"/>
  <c r="J53" i="32"/>
  <c r="AF53" i="32" s="1"/>
  <c r="J52" i="32"/>
  <c r="X25" i="32"/>
  <c r="X27" i="32" s="1"/>
  <c r="X28" i="32" s="1"/>
  <c r="X17" i="32"/>
  <c r="AM42" i="13"/>
  <c r="AA42" i="13"/>
  <c r="AY42" i="13" s="1"/>
  <c r="J18" i="32"/>
  <c r="Z36" i="13"/>
  <c r="U18" i="32" s="1"/>
  <c r="Q96" i="13"/>
  <c r="Q99" i="13" s="1"/>
  <c r="AX44" i="13"/>
  <c r="AQ29" i="32" s="1"/>
  <c r="AQ30" i="32" s="1"/>
  <c r="U29" i="32"/>
  <c r="U30" i="32" s="1"/>
  <c r="U31" i="32" s="1"/>
  <c r="AM43" i="13"/>
  <c r="AA43" i="13"/>
  <c r="AY43" i="13" s="1"/>
  <c r="AX107" i="13"/>
  <c r="M25" i="32"/>
  <c r="M27" i="32" s="1"/>
  <c r="M17" i="32"/>
  <c r="AM41" i="13"/>
  <c r="AA41" i="13"/>
  <c r="AY41" i="13" s="1"/>
  <c r="O40" i="13"/>
  <c r="O36" i="13"/>
  <c r="P41" i="13"/>
  <c r="P42" i="13"/>
  <c r="AG18" i="32"/>
  <c r="AL106" i="13"/>
  <c r="L28" i="32"/>
  <c r="AM44" i="13"/>
  <c r="AG29" i="32" s="1"/>
  <c r="AG30" i="32" s="1"/>
  <c r="AA44" i="13"/>
  <c r="K29" i="32"/>
  <c r="K30" i="32" s="1"/>
  <c r="K31" i="32" s="1"/>
  <c r="AN36" i="13"/>
  <c r="AH25" i="32"/>
  <c r="AH17" i="32"/>
  <c r="AH27" i="32"/>
  <c r="AH28" i="32" s="1"/>
  <c r="AM100" i="13"/>
  <c r="AM106" i="13" s="1"/>
  <c r="AM107" i="13" s="1"/>
  <c r="O106" i="13"/>
  <c r="O107" i="13" s="1"/>
  <c r="AC47" i="13"/>
  <c r="K117" i="13"/>
  <c r="AI117" i="13" s="1"/>
  <c r="K116" i="13"/>
  <c r="J115" i="13"/>
  <c r="F59" i="32"/>
  <c r="L112" i="13"/>
  <c r="K108" i="13"/>
  <c r="L114" i="13"/>
  <c r="AJ114" i="13" s="1"/>
  <c r="L113" i="13"/>
  <c r="G54" i="32"/>
  <c r="H52" i="32"/>
  <c r="AC49" i="32"/>
  <c r="H53" i="32"/>
  <c r="AD53" i="32" s="1"/>
  <c r="AN52" i="32"/>
  <c r="AN55" i="32" s="1"/>
  <c r="AN57" i="32" s="1"/>
  <c r="R55" i="32"/>
  <c r="R57" i="32" s="1"/>
  <c r="R58" i="32" s="1"/>
  <c r="AL52" i="32"/>
  <c r="AL55" i="32" s="1"/>
  <c r="P55" i="32"/>
  <c r="P57" i="32" s="1"/>
  <c r="P58" i="32" s="1"/>
  <c r="AT112" i="13"/>
  <c r="AB58" i="32"/>
  <c r="AB59" i="32" s="1"/>
  <c r="AB57" i="32"/>
  <c r="AW106" i="13"/>
  <c r="I54" i="32"/>
  <c r="M108" i="13"/>
  <c r="I49" i="32" s="1"/>
  <c r="AE49" i="32"/>
  <c r="AS112" i="13"/>
  <c r="AK112" i="13"/>
  <c r="AU108" i="13"/>
  <c r="T54" i="32" s="1"/>
  <c r="AP54" i="32" s="1"/>
  <c r="AN56" i="32"/>
  <c r="AN48" i="32"/>
  <c r="Y107" i="13"/>
  <c r="U56" i="32" s="1"/>
  <c r="AM54" i="32"/>
  <c r="AM55" i="32" s="1"/>
  <c r="Q55" i="32"/>
  <c r="Q57" i="32" s="1"/>
  <c r="Q58" i="32" s="1"/>
  <c r="H54" i="32"/>
  <c r="AD54" i="32" s="1"/>
  <c r="AW122" i="13"/>
  <c r="Y112" i="13"/>
  <c r="Y114" i="13"/>
  <c r="AW114" i="13" s="1"/>
  <c r="Y113" i="13"/>
  <c r="AW113" i="13" s="1"/>
  <c r="AO49" i="32"/>
  <c r="X108" i="13"/>
  <c r="S49" i="32" s="1"/>
  <c r="AG115" i="13"/>
  <c r="AH117" i="13"/>
  <c r="F60" i="32"/>
  <c r="E11" i="29"/>
  <c r="F11" i="29"/>
  <c r="C11" i="29"/>
  <c r="AT34" i="32"/>
  <c r="X34" i="32" s="1"/>
  <c r="AT18" i="32"/>
  <c r="AT27" i="32"/>
  <c r="AT28" i="32" s="1"/>
  <c r="AT25" i="32"/>
  <c r="AT17" i="32"/>
  <c r="AT65" i="32"/>
  <c r="X65" i="32" s="1"/>
  <c r="AA59" i="32"/>
  <c r="B12" i="29"/>
  <c r="D12" i="29" s="1"/>
  <c r="AG31" i="32" l="1"/>
  <c r="AG33" i="32" s="1"/>
  <c r="K33" i="32" s="1"/>
  <c r="AG32" i="32"/>
  <c r="AO99" i="13"/>
  <c r="Q101" i="13"/>
  <c r="AO101" i="13" s="1"/>
  <c r="Q100" i="13"/>
  <c r="Q119" i="13"/>
  <c r="Q121" i="13"/>
  <c r="AO121" i="13" s="1"/>
  <c r="R99" i="13"/>
  <c r="AG56" i="32"/>
  <c r="AG48" i="32"/>
  <c r="AM108" i="13"/>
  <c r="P36" i="13"/>
  <c r="P40" i="13"/>
  <c r="Q42" i="13"/>
  <c r="Q41" i="13"/>
  <c r="AH18" i="32"/>
  <c r="AY44" i="13"/>
  <c r="V29" i="32"/>
  <c r="V30" i="32" s="1"/>
  <c r="V31" i="32" s="1"/>
  <c r="K56" i="32"/>
  <c r="K48" i="32"/>
  <c r="AN43" i="13"/>
  <c r="AB43" i="13"/>
  <c r="AZ43" i="13" s="1"/>
  <c r="AN42" i="13"/>
  <c r="AB42" i="13"/>
  <c r="AZ42" i="13" s="1"/>
  <c r="AM40" i="13"/>
  <c r="AM46" i="13" s="1"/>
  <c r="AA40" i="13"/>
  <c r="O46" i="13"/>
  <c r="AL112" i="13"/>
  <c r="U48" i="32"/>
  <c r="V56" i="32"/>
  <c r="AC96" i="13"/>
  <c r="AC99" i="13" s="1"/>
  <c r="AN121" i="13"/>
  <c r="J56" i="32"/>
  <c r="J48" i="32"/>
  <c r="AL51" i="13"/>
  <c r="AL63" i="13"/>
  <c r="AL66" i="13" s="1"/>
  <c r="AY119" i="13"/>
  <c r="AA106" i="13"/>
  <c r="AY100" i="13"/>
  <c r="AC50" i="13"/>
  <c r="BA47" i="13"/>
  <c r="BA50" i="13" s="1"/>
  <c r="AN45" i="13"/>
  <c r="AB45" i="13"/>
  <c r="AZ45" i="13" s="1"/>
  <c r="AL107" i="13"/>
  <c r="AN41" i="13"/>
  <c r="AB41" i="13"/>
  <c r="AZ41" i="13" s="1"/>
  <c r="M28" i="32"/>
  <c r="AM122" i="13"/>
  <c r="AN100" i="13"/>
  <c r="P106" i="13"/>
  <c r="N51" i="13"/>
  <c r="N63" i="13"/>
  <c r="N66" i="13" s="1"/>
  <c r="AA121" i="13"/>
  <c r="J32" i="32"/>
  <c r="J35" i="32" s="1"/>
  <c r="J38" i="32" s="1"/>
  <c r="AF35" i="32"/>
  <c r="AF38" i="32" s="1"/>
  <c r="AN44" i="13"/>
  <c r="AH29" i="32" s="1"/>
  <c r="AH30" i="32" s="1"/>
  <c r="AB44" i="13"/>
  <c r="L29" i="32"/>
  <c r="L30" i="32" s="1"/>
  <c r="L31" i="32" s="1"/>
  <c r="K18" i="32"/>
  <c r="AA36" i="13"/>
  <c r="V18" i="32" s="1"/>
  <c r="AQ56" i="32"/>
  <c r="AQ48" i="32"/>
  <c r="AX108" i="13"/>
  <c r="AQ31" i="32"/>
  <c r="AQ33" i="32" s="1"/>
  <c r="U33" i="32" s="1"/>
  <c r="AQ32" i="32"/>
  <c r="AF52" i="32"/>
  <c r="AZ99" i="13"/>
  <c r="AB101" i="13"/>
  <c r="AZ101" i="13" s="1"/>
  <c r="AB100" i="13"/>
  <c r="AB121" i="13"/>
  <c r="AZ121" i="13" s="1"/>
  <c r="P122" i="13"/>
  <c r="AN119" i="13"/>
  <c r="AN101" i="13"/>
  <c r="AP101" i="13" s="1"/>
  <c r="AX40" i="13"/>
  <c r="AX46" i="13" s="1"/>
  <c r="Z46" i="13"/>
  <c r="AO36" i="13"/>
  <c r="AI17" i="32"/>
  <c r="AI27" i="32"/>
  <c r="AI28" i="32" s="1"/>
  <c r="AI25" i="32"/>
  <c r="AQ52" i="32"/>
  <c r="AY101" i="13"/>
  <c r="F61" i="32"/>
  <c r="F62" i="32" s="1"/>
  <c r="AN58" i="32"/>
  <c r="AN59" i="32" s="1"/>
  <c r="AB60" i="32"/>
  <c r="AW112" i="13"/>
  <c r="Q59" i="32"/>
  <c r="V116" i="13"/>
  <c r="R60" i="32" s="1"/>
  <c r="V117" i="13"/>
  <c r="AT117" i="13" s="1"/>
  <c r="P59" i="32"/>
  <c r="P61" i="32" s="1"/>
  <c r="P62" i="32" s="1"/>
  <c r="U117" i="13"/>
  <c r="U116" i="13"/>
  <c r="Q60" i="32" s="1"/>
  <c r="U115" i="13"/>
  <c r="AC54" i="32"/>
  <c r="AC55" i="32" s="1"/>
  <c r="G55" i="32"/>
  <c r="G57" i="32" s="1"/>
  <c r="G58" i="32" s="1"/>
  <c r="G49" i="32"/>
  <c r="AM57" i="32"/>
  <c r="AM58" i="32"/>
  <c r="AM59" i="32" s="1"/>
  <c r="X112" i="13"/>
  <c r="X114" i="13"/>
  <c r="AV114" i="13" s="1"/>
  <c r="X113" i="13"/>
  <c r="AV113" i="13" s="1"/>
  <c r="S54" i="32"/>
  <c r="W108" i="13"/>
  <c r="AN49" i="32"/>
  <c r="T53" i="32"/>
  <c r="AP53" i="32" s="1"/>
  <c r="T52" i="32"/>
  <c r="AE54" i="32"/>
  <c r="AE55" i="32" s="1"/>
  <c r="I55" i="32"/>
  <c r="I57" i="32" s="1"/>
  <c r="I58" i="32" s="1"/>
  <c r="AL57" i="32"/>
  <c r="AL58" i="32"/>
  <c r="AL59" i="32" s="1"/>
  <c r="AJ113" i="13"/>
  <c r="AJ112" i="13"/>
  <c r="J118" i="13"/>
  <c r="AH115" i="13"/>
  <c r="AH118" i="13" s="1"/>
  <c r="T48" i="32"/>
  <c r="AW107" i="13"/>
  <c r="V115" i="13"/>
  <c r="R59" i="32"/>
  <c r="W116" i="13"/>
  <c r="W117" i="13"/>
  <c r="AU117" i="13" s="1"/>
  <c r="AD52" i="32"/>
  <c r="AD55" i="32" s="1"/>
  <c r="H55" i="32"/>
  <c r="H57" i="32" s="1"/>
  <c r="H58" i="32" s="1"/>
  <c r="AI116" i="13"/>
  <c r="AC60" i="32" s="1"/>
  <c r="G60" i="32"/>
  <c r="F12" i="29"/>
  <c r="C12" i="29"/>
  <c r="E12" i="29"/>
  <c r="AK55" i="32"/>
  <c r="AK58" i="32" s="1"/>
  <c r="B13" i="29"/>
  <c r="D13" i="29" s="1"/>
  <c r="U31" i="13"/>
  <c r="AS31" i="13" s="1"/>
  <c r="R101" i="13" l="1"/>
  <c r="R121" i="13"/>
  <c r="AP121" i="13"/>
  <c r="AN122" i="13"/>
  <c r="AT116" i="13"/>
  <c r="AM60" i="32" s="1"/>
  <c r="AM61" i="32" s="1"/>
  <c r="AM62" i="32" s="1"/>
  <c r="AH31" i="32"/>
  <c r="AH33" i="32" s="1"/>
  <c r="L33" i="32" s="1"/>
  <c r="AH32" i="32"/>
  <c r="AC101" i="13"/>
  <c r="AC100" i="13"/>
  <c r="AC121" i="13" s="1"/>
  <c r="BA99" i="13"/>
  <c r="BB99" i="13" s="1"/>
  <c r="AD99" i="13"/>
  <c r="Q40" i="13"/>
  <c r="Q36" i="13"/>
  <c r="AI18" i="32"/>
  <c r="AY121" i="13"/>
  <c r="AY122" i="13" s="1"/>
  <c r="AO44" i="13"/>
  <c r="AI29" i="32" s="1"/>
  <c r="AI30" i="32" s="1"/>
  <c r="AC44" i="13"/>
  <c r="M29" i="32"/>
  <c r="M30" i="32" s="1"/>
  <c r="M31" i="32" s="1"/>
  <c r="AL108" i="13"/>
  <c r="AF56" i="32"/>
  <c r="AF48" i="32"/>
  <c r="AA107" i="13"/>
  <c r="AA122" i="13"/>
  <c r="AY40" i="13"/>
  <c r="AY46" i="13" s="1"/>
  <c r="AA46" i="13"/>
  <c r="AR29" i="32"/>
  <c r="AR30" i="32" s="1"/>
  <c r="AO42" i="13"/>
  <c r="AC42" i="13"/>
  <c r="BA42" i="13" s="1"/>
  <c r="Q122" i="13"/>
  <c r="R122" i="13" s="1"/>
  <c r="AO119" i="13"/>
  <c r="AO122" i="13" s="1"/>
  <c r="AP99" i="13"/>
  <c r="AZ100" i="13"/>
  <c r="AB106" i="13"/>
  <c r="AB107" i="13" s="1"/>
  <c r="U32" i="32"/>
  <c r="U35" i="32" s="1"/>
  <c r="U38" i="32" s="1"/>
  <c r="AQ35" i="32"/>
  <c r="AQ38" i="32" s="1"/>
  <c r="Z108" i="13"/>
  <c r="U49" i="32" s="1"/>
  <c r="AA112" i="13"/>
  <c r="AA113" i="13"/>
  <c r="AY113" i="13" s="1"/>
  <c r="AA114" i="13"/>
  <c r="AY114" i="13" s="1"/>
  <c r="AQ49" i="32"/>
  <c r="W53" i="32"/>
  <c r="AS53" i="32" s="1"/>
  <c r="W52" i="32"/>
  <c r="P107" i="13"/>
  <c r="AO43" i="13"/>
  <c r="AC43" i="13"/>
  <c r="BA43" i="13" s="1"/>
  <c r="AM63" i="13"/>
  <c r="AM66" i="13" s="1"/>
  <c r="AM51" i="13"/>
  <c r="AN40" i="13"/>
  <c r="AN46" i="13" s="1"/>
  <c r="AB40" i="13"/>
  <c r="P46" i="13"/>
  <c r="R119" i="13"/>
  <c r="Q106" i="13"/>
  <c r="Q107" i="13" s="1"/>
  <c r="AO100" i="13"/>
  <c r="AO106" i="13" s="1"/>
  <c r="AO107" i="13" s="1"/>
  <c r="R100" i="13"/>
  <c r="K32" i="32"/>
  <c r="K35" i="32" s="1"/>
  <c r="K38" i="32" s="1"/>
  <c r="AG35" i="32"/>
  <c r="AG38" i="32" s="1"/>
  <c r="N117" i="13"/>
  <c r="AL117" i="13" s="1"/>
  <c r="N116" i="13"/>
  <c r="AB119" i="13"/>
  <c r="W29" i="32"/>
  <c r="W30" i="32" s="1"/>
  <c r="W31" i="32" s="1"/>
  <c r="AZ44" i="13"/>
  <c r="AN106" i="13"/>
  <c r="AO45" i="13"/>
  <c r="AC45" i="13"/>
  <c r="BA45" i="13" s="1"/>
  <c r="AY106" i="13"/>
  <c r="O51" i="13"/>
  <c r="O63" i="13"/>
  <c r="O66" i="13" s="1"/>
  <c r="AO41" i="13"/>
  <c r="AC41" i="13"/>
  <c r="BA41" i="13" s="1"/>
  <c r="L18" i="32"/>
  <c r="AB36" i="13"/>
  <c r="W18" i="32" s="1"/>
  <c r="O108" i="13"/>
  <c r="K49" i="32" s="1"/>
  <c r="P112" i="13"/>
  <c r="P113" i="13"/>
  <c r="AN113" i="13" s="1"/>
  <c r="P114" i="13"/>
  <c r="AN114" i="13" s="1"/>
  <c r="K54" i="32"/>
  <c r="AG54" i="32" s="1"/>
  <c r="L53" i="32"/>
  <c r="AH53" i="32" s="1"/>
  <c r="AG49" i="32"/>
  <c r="L52" i="32"/>
  <c r="R61" i="32"/>
  <c r="R62" i="32" s="1"/>
  <c r="AH135" i="13"/>
  <c r="AH138" i="13" s="1"/>
  <c r="AH123" i="13"/>
  <c r="J135" i="13"/>
  <c r="J138" i="13" s="1"/>
  <c r="J123" i="13"/>
  <c r="AT115" i="13"/>
  <c r="V118" i="13"/>
  <c r="M115" i="13"/>
  <c r="I59" i="32"/>
  <c r="AO54" i="32"/>
  <c r="AO55" i="32" s="1"/>
  <c r="S55" i="32"/>
  <c r="S57" i="32" s="1"/>
  <c r="S58" i="32" s="1"/>
  <c r="AV112" i="13"/>
  <c r="AC57" i="32"/>
  <c r="AC58" i="32"/>
  <c r="AC59" i="32" s="1"/>
  <c r="AC61" i="32" s="1"/>
  <c r="AC63" i="32" s="1"/>
  <c r="L115" i="13"/>
  <c r="M117" i="13"/>
  <c r="AK117" i="13" s="1"/>
  <c r="M116" i="13"/>
  <c r="H59" i="32"/>
  <c r="S60" i="32"/>
  <c r="AU116" i="13"/>
  <c r="AE58" i="32"/>
  <c r="AE59" i="32" s="1"/>
  <c r="AE57" i="32"/>
  <c r="AS115" i="13"/>
  <c r="U118" i="13"/>
  <c r="U123" i="13" s="1"/>
  <c r="AD58" i="32"/>
  <c r="AD59" i="32" s="1"/>
  <c r="AD57" i="32"/>
  <c r="AW108" i="13"/>
  <c r="AP56" i="32"/>
  <c r="AP48" i="32"/>
  <c r="T55" i="32"/>
  <c r="T57" i="32" s="1"/>
  <c r="T58" i="32" s="1"/>
  <c r="AP52" i="32"/>
  <c r="AP55" i="32" s="1"/>
  <c r="AP57" i="32" s="1"/>
  <c r="R49" i="32"/>
  <c r="K115" i="13"/>
  <c r="L116" i="13"/>
  <c r="L117" i="13"/>
  <c r="AJ117" i="13" s="1"/>
  <c r="G59" i="32"/>
  <c r="G61" i="32" s="1"/>
  <c r="G62" i="32" s="1"/>
  <c r="Q61" i="32"/>
  <c r="Q62" i="32" s="1"/>
  <c r="E13" i="29"/>
  <c r="F13" i="29"/>
  <c r="C13" i="29"/>
  <c r="L21" i="31"/>
  <c r="N21" i="31"/>
  <c r="AK57" i="32"/>
  <c r="AK59" i="32"/>
  <c r="Y31" i="13"/>
  <c r="B14" i="29"/>
  <c r="D14" i="29" s="1"/>
  <c r="AB61" i="32"/>
  <c r="AB63" i="32" s="1"/>
  <c r="D8" i="13"/>
  <c r="AP122" i="13" l="1"/>
  <c r="K48" i="30" s="1"/>
  <c r="AD100" i="13"/>
  <c r="BA121" i="13"/>
  <c r="BB121" i="13" s="1"/>
  <c r="AD121" i="13"/>
  <c r="AC119" i="13"/>
  <c r="AD119" i="13" s="1"/>
  <c r="AT118" i="13"/>
  <c r="AT123" i="13" s="1"/>
  <c r="AP100" i="13"/>
  <c r="AI48" i="32"/>
  <c r="AI56" i="32"/>
  <c r="AO108" i="13"/>
  <c r="AY107" i="13"/>
  <c r="P51" i="13"/>
  <c r="P63" i="13"/>
  <c r="P66" i="13" s="1"/>
  <c r="AS52" i="32"/>
  <c r="AY112" i="13"/>
  <c r="AY63" i="13"/>
  <c r="AY66" i="13" s="1"/>
  <c r="AY51" i="13"/>
  <c r="V48" i="32"/>
  <c r="W56" i="32"/>
  <c r="M18" i="32"/>
  <c r="AC36" i="13"/>
  <c r="X18" i="32" s="1"/>
  <c r="L32" i="32"/>
  <c r="L35" i="32" s="1"/>
  <c r="L38" i="32" s="1"/>
  <c r="AH35" i="32"/>
  <c r="AH38" i="32" s="1"/>
  <c r="Z112" i="13"/>
  <c r="Z114" i="13"/>
  <c r="AX114" i="13" s="1"/>
  <c r="Z113" i="13"/>
  <c r="AX113" i="13" s="1"/>
  <c r="U54" i="32"/>
  <c r="V53" i="32"/>
  <c r="AR53" i="32" s="1"/>
  <c r="V52" i="32"/>
  <c r="AH52" i="32"/>
  <c r="AN112" i="13"/>
  <c r="AN107" i="13"/>
  <c r="AP106" i="13"/>
  <c r="AB122" i="13"/>
  <c r="AZ119" i="13"/>
  <c r="AL116" i="13"/>
  <c r="AF60" i="32" s="1"/>
  <c r="J60" i="32"/>
  <c r="M56" i="32"/>
  <c r="M48" i="32"/>
  <c r="AZ40" i="13"/>
  <c r="AZ46" i="13" s="1"/>
  <c r="AB46" i="13"/>
  <c r="R106" i="13"/>
  <c r="W48" i="32"/>
  <c r="X56" i="32"/>
  <c r="AP119" i="13"/>
  <c r="AO40" i="13"/>
  <c r="AO46" i="13" s="1"/>
  <c r="AC40" i="13"/>
  <c r="Q46" i="13"/>
  <c r="AC106" i="13"/>
  <c r="BA100" i="13"/>
  <c r="BB100" i="13" s="1"/>
  <c r="AS29" i="32"/>
  <c r="AS30" i="32" s="1"/>
  <c r="AN51" i="13"/>
  <c r="AN63" i="13"/>
  <c r="AN66" i="13" s="1"/>
  <c r="L56" i="32"/>
  <c r="L48" i="32"/>
  <c r="R107" i="13"/>
  <c r="V54" i="32"/>
  <c r="AR54" i="32" s="1"/>
  <c r="AZ106" i="13"/>
  <c r="AZ107" i="13" s="1"/>
  <c r="AI31" i="32"/>
  <c r="AI33" i="32" s="1"/>
  <c r="M33" i="32" s="1"/>
  <c r="AI32" i="32"/>
  <c r="AR31" i="32"/>
  <c r="AR33" i="32" s="1"/>
  <c r="V33" i="32" s="1"/>
  <c r="AR32" i="32"/>
  <c r="AA51" i="13"/>
  <c r="AA63" i="13"/>
  <c r="AA66" i="13" s="1"/>
  <c r="AA69" i="13" s="1"/>
  <c r="N108" i="13"/>
  <c r="O112" i="13"/>
  <c r="O113" i="13"/>
  <c r="J54" i="32"/>
  <c r="O114" i="13"/>
  <c r="AM114" i="13" s="1"/>
  <c r="AF49" i="32"/>
  <c r="K52" i="32"/>
  <c r="K53" i="32"/>
  <c r="AG53" i="32" s="1"/>
  <c r="X29" i="32"/>
  <c r="X30" i="32" s="1"/>
  <c r="X31" i="32" s="1"/>
  <c r="BA44" i="13"/>
  <c r="BA101" i="13"/>
  <c r="BB101" i="13" s="1"/>
  <c r="AD101" i="13"/>
  <c r="AM63" i="32"/>
  <c r="Q63" i="32" s="1"/>
  <c r="AT135" i="13"/>
  <c r="AT138" i="13" s="1"/>
  <c r="AT144" i="13" s="1"/>
  <c r="V144" i="13" s="1"/>
  <c r="V135" i="13"/>
  <c r="V138" i="13" s="1"/>
  <c r="V141" i="13" s="1"/>
  <c r="V123" i="13"/>
  <c r="H60" i="32"/>
  <c r="AJ116" i="13"/>
  <c r="AD60" i="32" s="1"/>
  <c r="AD61" i="32" s="1"/>
  <c r="K118" i="13"/>
  <c r="AI115" i="13"/>
  <c r="AI118" i="13" s="1"/>
  <c r="Y108" i="13"/>
  <c r="AP49" i="32"/>
  <c r="H61" i="32"/>
  <c r="H62" i="32" s="1"/>
  <c r="AJ115" i="13"/>
  <c r="L118" i="13"/>
  <c r="S59" i="32"/>
  <c r="S61" i="32" s="1"/>
  <c r="S62" i="32" s="1"/>
  <c r="W115" i="13"/>
  <c r="X117" i="13"/>
  <c r="AV117" i="13" s="1"/>
  <c r="X116" i="13"/>
  <c r="M118" i="13"/>
  <c r="AK115" i="13"/>
  <c r="T59" i="32"/>
  <c r="X115" i="13"/>
  <c r="Y117" i="13"/>
  <c r="AW117" i="13" s="1"/>
  <c r="Y116" i="13"/>
  <c r="U60" i="32" s="1"/>
  <c r="AP58" i="32"/>
  <c r="AP59" i="32" s="1"/>
  <c r="AN60" i="32"/>
  <c r="AN61" i="32" s="1"/>
  <c r="I60" i="32"/>
  <c r="I61" i="32" s="1"/>
  <c r="I62" i="32" s="1"/>
  <c r="AK116" i="13"/>
  <c r="AE60" i="32" s="1"/>
  <c r="AE61" i="32" s="1"/>
  <c r="AE62" i="32" s="1"/>
  <c r="AE64" i="32" s="1"/>
  <c r="I64" i="32" s="1"/>
  <c r="AO57" i="32"/>
  <c r="AO58" i="32"/>
  <c r="AO59" i="32" s="1"/>
  <c r="F14" i="29"/>
  <c r="C14" i="29"/>
  <c r="E14" i="29"/>
  <c r="AC62" i="32"/>
  <c r="AB62" i="32"/>
  <c r="AW31" i="13"/>
  <c r="B15" i="29"/>
  <c r="D15" i="29" s="1"/>
  <c r="W31" i="13"/>
  <c r="AU31" i="13" s="1"/>
  <c r="D13" i="13"/>
  <c r="D12" i="13"/>
  <c r="AF22" i="13"/>
  <c r="F32" i="13" s="1"/>
  <c r="BA119" i="13" l="1"/>
  <c r="BA122" i="13" s="1"/>
  <c r="AC122" i="13"/>
  <c r="AD122" i="13" s="1"/>
  <c r="AM113" i="13"/>
  <c r="V32" i="32"/>
  <c r="V35" i="32" s="1"/>
  <c r="V38" i="32" s="1"/>
  <c r="AR35" i="32"/>
  <c r="AR38" i="32" s="1"/>
  <c r="AS31" i="32"/>
  <c r="AS33" i="32" s="1"/>
  <c r="W33" i="32" s="1"/>
  <c r="AS32" i="32"/>
  <c r="AO51" i="13"/>
  <c r="AO63" i="13"/>
  <c r="AO66" i="13" s="1"/>
  <c r="AB51" i="13"/>
  <c r="AB63" i="13"/>
  <c r="AB66" i="13" s="1"/>
  <c r="AB69" i="13" s="1"/>
  <c r="AR52" i="32"/>
  <c r="AR55" i="32" s="1"/>
  <c r="AR57" i="32" s="1"/>
  <c r="V55" i="32"/>
  <c r="V57" i="32" s="1"/>
  <c r="V58" i="32" s="1"/>
  <c r="AR48" i="32"/>
  <c r="AR56" i="32"/>
  <c r="AY108" i="13"/>
  <c r="AT29" i="32"/>
  <c r="AT30" i="32" s="1"/>
  <c r="AM112" i="13"/>
  <c r="AZ63" i="13"/>
  <c r="AZ66" i="13" s="1"/>
  <c r="AZ51" i="13"/>
  <c r="BA106" i="13"/>
  <c r="BA107" i="13" s="1"/>
  <c r="BB107" i="13" s="1"/>
  <c r="Q63" i="13"/>
  <c r="Q66" i="13" s="1"/>
  <c r="Q51" i="13"/>
  <c r="AZ122" i="13"/>
  <c r="BB119" i="13"/>
  <c r="AN108" i="13"/>
  <c r="AH48" i="32"/>
  <c r="AH56" i="32"/>
  <c r="AP107" i="13"/>
  <c r="K44" i="30" s="1"/>
  <c r="BB106" i="13"/>
  <c r="AG52" i="32"/>
  <c r="AG55" i="32" s="1"/>
  <c r="K55" i="32"/>
  <c r="AF54" i="32"/>
  <c r="AF55" i="32" s="1"/>
  <c r="J55" i="32"/>
  <c r="J49" i="32"/>
  <c r="M32" i="32"/>
  <c r="M35" i="32" s="1"/>
  <c r="M38" i="32" s="1"/>
  <c r="AI35" i="32"/>
  <c r="AI38" i="32" s="1"/>
  <c r="AS48" i="32"/>
  <c r="AZ108" i="13"/>
  <c r="AS56" i="32"/>
  <c r="AD106" i="13"/>
  <c r="AC107" i="13"/>
  <c r="BA40" i="13"/>
  <c r="BA46" i="13" s="1"/>
  <c r="AC46" i="13"/>
  <c r="AQ54" i="32"/>
  <c r="AQ55" i="32" s="1"/>
  <c r="U55" i="32"/>
  <c r="AX112" i="13"/>
  <c r="AY72" i="13"/>
  <c r="AA72" i="13" s="1"/>
  <c r="AY69" i="13"/>
  <c r="Q108" i="13"/>
  <c r="M49" i="32" s="1"/>
  <c r="M54" i="32"/>
  <c r="AI54" i="32" s="1"/>
  <c r="AI49" i="32"/>
  <c r="AE65" i="32"/>
  <c r="I65" i="32" s="1"/>
  <c r="AT141" i="13"/>
  <c r="M135" i="13"/>
  <c r="M138" i="13" s="1"/>
  <c r="M123" i="13"/>
  <c r="AJ118" i="13"/>
  <c r="AE63" i="32"/>
  <c r="I63" i="32" s="1"/>
  <c r="L135" i="13"/>
  <c r="L138" i="13" s="1"/>
  <c r="L123" i="13"/>
  <c r="AI135" i="13"/>
  <c r="AI138" i="13" s="1"/>
  <c r="AI123" i="13"/>
  <c r="K135" i="13"/>
  <c r="K138" i="13" s="1"/>
  <c r="K123" i="13"/>
  <c r="AV115" i="13"/>
  <c r="X118" i="13"/>
  <c r="W118" i="13"/>
  <c r="AU115" i="13"/>
  <c r="AU118" i="13" s="1"/>
  <c r="AN62" i="32"/>
  <c r="AN63" i="32"/>
  <c r="AW116" i="13"/>
  <c r="T60" i="32"/>
  <c r="T61" i="32" s="1"/>
  <c r="T62" i="32" s="1"/>
  <c r="AV116" i="13"/>
  <c r="AO60" i="32" s="1"/>
  <c r="AO61" i="32" s="1"/>
  <c r="T49" i="32"/>
  <c r="Y27" i="13"/>
  <c r="AW27" i="13" s="1"/>
  <c r="T27" i="13"/>
  <c r="AK118" i="13"/>
  <c r="AD63" i="32"/>
  <c r="AD62" i="32"/>
  <c r="AF32" i="13"/>
  <c r="K34" i="13"/>
  <c r="K35" i="13" s="1"/>
  <c r="M34" i="13"/>
  <c r="M35" i="13" s="1"/>
  <c r="I25" i="32" s="1"/>
  <c r="F15" i="29"/>
  <c r="C15" i="29"/>
  <c r="E15" i="29"/>
  <c r="AB64" i="32"/>
  <c r="F64" i="32" s="1"/>
  <c r="AB65" i="32"/>
  <c r="F65" i="32" s="1"/>
  <c r="AC65" i="32"/>
  <c r="G65" i="32" s="1"/>
  <c r="AC64" i="32"/>
  <c r="G64" i="32" s="1"/>
  <c r="AM64" i="32"/>
  <c r="Q64" i="32" s="1"/>
  <c r="AM65" i="32"/>
  <c r="Q65" i="32" s="1"/>
  <c r="F63" i="32"/>
  <c r="G63" i="32"/>
  <c r="B16" i="29"/>
  <c r="D16" i="29" s="1"/>
  <c r="AT149" i="13"/>
  <c r="V149" i="13"/>
  <c r="U27" i="13"/>
  <c r="W27" i="13"/>
  <c r="V27" i="13"/>
  <c r="X27" i="13"/>
  <c r="AF61" i="13"/>
  <c r="AP61" i="13" s="1"/>
  <c r="R56" i="13"/>
  <c r="R55" i="13"/>
  <c r="R54" i="13"/>
  <c r="H27" i="13"/>
  <c r="H28" i="13" s="1"/>
  <c r="T28" i="13" s="1"/>
  <c r="B3" i="13"/>
  <c r="BB122" i="13" l="1"/>
  <c r="L48" i="30" s="1"/>
  <c r="AR58" i="32"/>
  <c r="AR59" i="32" s="1"/>
  <c r="BA51" i="13"/>
  <c r="BA63" i="13"/>
  <c r="BA66" i="13" s="1"/>
  <c r="Y47" i="13"/>
  <c r="AW47" i="13" s="1"/>
  <c r="Z49" i="13"/>
  <c r="AB108" i="13"/>
  <c r="W49" i="32" s="1"/>
  <c r="AC112" i="13"/>
  <c r="AC114" i="13"/>
  <c r="BA114" i="13" s="1"/>
  <c r="AC113" i="13"/>
  <c r="BA113" i="13" s="1"/>
  <c r="AS49" i="32"/>
  <c r="X54" i="32"/>
  <c r="AT54" i="32" s="1"/>
  <c r="J57" i="32"/>
  <c r="J58" i="32" s="1"/>
  <c r="AG57" i="32"/>
  <c r="AG58" i="32"/>
  <c r="AG59" i="32" s="1"/>
  <c r="BB144" i="13"/>
  <c r="AD144" i="13" s="1"/>
  <c r="L44" i="30"/>
  <c r="I66" i="32"/>
  <c r="I69" i="32" s="1"/>
  <c r="U57" i="32"/>
  <c r="U58" i="32" s="1"/>
  <c r="X48" i="32"/>
  <c r="AD107" i="13"/>
  <c r="AF57" i="32"/>
  <c r="AF58" i="32"/>
  <c r="AF59" i="32" s="1"/>
  <c r="AF61" i="32" s="1"/>
  <c r="P108" i="13"/>
  <c r="Q112" i="13"/>
  <c r="Q114" i="13"/>
  <c r="AO114" i="13" s="1"/>
  <c r="Q113" i="13"/>
  <c r="L54" i="32"/>
  <c r="AH49" i="32"/>
  <c r="M52" i="32"/>
  <c r="M53" i="32"/>
  <c r="AI53" i="32" s="1"/>
  <c r="AP108" i="13"/>
  <c r="AZ72" i="13"/>
  <c r="AB72" i="13" s="1"/>
  <c r="AZ69" i="13"/>
  <c r="AT31" i="32"/>
  <c r="AT33" i="32" s="1"/>
  <c r="X33" i="32" s="1"/>
  <c r="AT32" i="32"/>
  <c r="V59" i="32"/>
  <c r="Z115" i="13"/>
  <c r="AA117" i="13"/>
  <c r="AY117" i="13" s="1"/>
  <c r="AA116" i="13"/>
  <c r="AQ57" i="32"/>
  <c r="AQ58" i="32"/>
  <c r="AQ59" i="32" s="1"/>
  <c r="AC63" i="13"/>
  <c r="AC66" i="13" s="1"/>
  <c r="AC69" i="13" s="1"/>
  <c r="AC51" i="13"/>
  <c r="K57" i="32"/>
  <c r="K58" i="32" s="1"/>
  <c r="AT48" i="32"/>
  <c r="BA108" i="13"/>
  <c r="BB108" i="13" s="1"/>
  <c r="AT56" i="32"/>
  <c r="AA108" i="13"/>
  <c r="AB112" i="13"/>
  <c r="AB113" i="13"/>
  <c r="AZ113" i="13" s="1"/>
  <c r="AB114" i="13"/>
  <c r="AZ114" i="13" s="1"/>
  <c r="AR49" i="32"/>
  <c r="W54" i="32"/>
  <c r="X52" i="32"/>
  <c r="X53" i="32"/>
  <c r="AT53" i="32" s="1"/>
  <c r="W32" i="32"/>
  <c r="W35" i="32" s="1"/>
  <c r="W38" i="32" s="1"/>
  <c r="AS35" i="32"/>
  <c r="AS38" i="32" s="1"/>
  <c r="AE66" i="32"/>
  <c r="AE69" i="32" s="1"/>
  <c r="X135" i="13"/>
  <c r="X138" i="13" s="1"/>
  <c r="X123" i="13"/>
  <c r="AU135" i="13"/>
  <c r="AU138" i="13" s="1"/>
  <c r="AU141" i="13" s="1"/>
  <c r="AU123" i="13"/>
  <c r="W135" i="13"/>
  <c r="W138" i="13" s="1"/>
  <c r="W141" i="13" s="1"/>
  <c r="W123" i="13"/>
  <c r="X141" i="13"/>
  <c r="AJ135" i="13"/>
  <c r="AJ138" i="13" s="1"/>
  <c r="AJ123" i="13"/>
  <c r="AK135" i="13"/>
  <c r="AK138" i="13" s="1"/>
  <c r="AK123" i="13"/>
  <c r="AO62" i="32"/>
  <c r="AO63" i="32"/>
  <c r="H63" i="32"/>
  <c r="AP60" i="32"/>
  <c r="AP61" i="32" s="1"/>
  <c r="AV118" i="13"/>
  <c r="R63" i="32"/>
  <c r="AD65" i="32"/>
  <c r="H65" i="32" s="1"/>
  <c r="AD64" i="32"/>
  <c r="H64" i="32" s="1"/>
  <c r="AN65" i="32"/>
  <c r="R65" i="32" s="1"/>
  <c r="AN64" i="32"/>
  <c r="R64" i="32" s="1"/>
  <c r="X49" i="13"/>
  <c r="AV49" i="13" s="1"/>
  <c r="W47" i="13"/>
  <c r="AU47" i="13" s="1"/>
  <c r="Y49" i="13"/>
  <c r="AW49" i="13" s="1"/>
  <c r="X47" i="13"/>
  <c r="AV47" i="13" s="1"/>
  <c r="V47" i="13"/>
  <c r="AT47" i="13" s="1"/>
  <c r="W49" i="13"/>
  <c r="AU49" i="13" s="1"/>
  <c r="T49" i="13"/>
  <c r="U49" i="13"/>
  <c r="T47" i="13"/>
  <c r="Q66" i="32"/>
  <c r="Q69" i="32" s="1"/>
  <c r="AR28" i="13"/>
  <c r="I17" i="32"/>
  <c r="G17" i="32"/>
  <c r="G25" i="32"/>
  <c r="M40" i="13"/>
  <c r="Y32" i="13"/>
  <c r="W32" i="13"/>
  <c r="U32" i="13"/>
  <c r="AS32" i="13" s="1"/>
  <c r="E16" i="29"/>
  <c r="C16" i="29"/>
  <c r="F16" i="29"/>
  <c r="H29" i="13"/>
  <c r="T29" i="13" s="1"/>
  <c r="T34" i="13" s="1"/>
  <c r="T35" i="13" s="1"/>
  <c r="H49" i="13"/>
  <c r="AM66" i="32"/>
  <c r="AM69" i="32" s="1"/>
  <c r="AC66" i="32"/>
  <c r="AC69" i="32" s="1"/>
  <c r="G66" i="32"/>
  <c r="G69" i="32" s="1"/>
  <c r="AB66" i="32"/>
  <c r="AB69" i="32" s="1"/>
  <c r="F66" i="32"/>
  <c r="F69" i="32" s="1"/>
  <c r="B17" i="29"/>
  <c r="D17" i="29" s="1"/>
  <c r="AD27" i="13"/>
  <c r="R27" i="13"/>
  <c r="AD30" i="13"/>
  <c r="AT27" i="13"/>
  <c r="AU27" i="13"/>
  <c r="AV27" i="13"/>
  <c r="AS27" i="13"/>
  <c r="R61" i="13"/>
  <c r="AF30" i="13"/>
  <c r="AP30" i="13" s="1"/>
  <c r="AS54" i="32" l="1"/>
  <c r="AS55" i="32" s="1"/>
  <c r="W55" i="32"/>
  <c r="K59" i="32"/>
  <c r="O115" i="13"/>
  <c r="P117" i="13"/>
  <c r="AN117" i="13" s="1"/>
  <c r="P116" i="13"/>
  <c r="AY116" i="13"/>
  <c r="AR60" i="32" s="1"/>
  <c r="AR61" i="32" s="1"/>
  <c r="W60" i="32"/>
  <c r="AH54" i="32"/>
  <c r="AH55" i="32" s="1"/>
  <c r="L55" i="32"/>
  <c r="AO112" i="13"/>
  <c r="AF62" i="32"/>
  <c r="AF64" i="32" s="1"/>
  <c r="J64" i="32" s="1"/>
  <c r="AF63" i="32"/>
  <c r="J59" i="32"/>
  <c r="J61" i="32" s="1"/>
  <c r="J62" i="32" s="1"/>
  <c r="N115" i="13"/>
  <c r="O116" i="13"/>
  <c r="O117" i="13"/>
  <c r="AM117" i="13" s="1"/>
  <c r="AZ112" i="13"/>
  <c r="X32" i="32"/>
  <c r="X35" i="32" s="1"/>
  <c r="X38" i="32" s="1"/>
  <c r="AT35" i="32"/>
  <c r="AT38" i="32" s="1"/>
  <c r="AI52" i="32"/>
  <c r="AI55" i="32" s="1"/>
  <c r="M55" i="32"/>
  <c r="AO113" i="13"/>
  <c r="R113" i="13"/>
  <c r="L49" i="32"/>
  <c r="R108" i="13"/>
  <c r="Z116" i="13"/>
  <c r="Z117" i="13"/>
  <c r="AX117" i="13" s="1"/>
  <c r="U59" i="32"/>
  <c r="U61" i="32" s="1"/>
  <c r="U62" i="32" s="1"/>
  <c r="Y115" i="13"/>
  <c r="BA72" i="13"/>
  <c r="BA69" i="13"/>
  <c r="AT52" i="32"/>
  <c r="AT55" i="32" s="1"/>
  <c r="X55" i="32"/>
  <c r="X57" i="32" s="1"/>
  <c r="X58" i="32" s="1"/>
  <c r="V49" i="32"/>
  <c r="AC108" i="13"/>
  <c r="X49" i="32" s="1"/>
  <c r="AT49" i="32"/>
  <c r="AX115" i="13"/>
  <c r="BA112" i="13"/>
  <c r="AX49" i="13"/>
  <c r="AX50" i="13" s="1"/>
  <c r="Z50" i="13"/>
  <c r="AU144" i="13"/>
  <c r="AU149" i="13" s="1"/>
  <c r="AV135" i="13"/>
  <c r="AV138" i="13" s="1"/>
  <c r="AV141" i="13" s="1"/>
  <c r="AV123" i="13"/>
  <c r="R66" i="32"/>
  <c r="R69" i="32" s="1"/>
  <c r="H66" i="32"/>
  <c r="H69" i="32" s="1"/>
  <c r="AN66" i="32"/>
  <c r="AN69" i="32" s="1"/>
  <c r="W144" i="13"/>
  <c r="W149" i="13" s="1"/>
  <c r="AP62" i="32"/>
  <c r="AP63" i="32"/>
  <c r="S63" i="32"/>
  <c r="AD66" i="32"/>
  <c r="AD69" i="32" s="1"/>
  <c r="AO65" i="32"/>
  <c r="S65" i="32" s="1"/>
  <c r="AO64" i="32"/>
  <c r="S64" i="32" s="1"/>
  <c r="AR29" i="13"/>
  <c r="Y40" i="13"/>
  <c r="AK40" i="13"/>
  <c r="H47" i="13"/>
  <c r="K40" i="13"/>
  <c r="L42" i="13"/>
  <c r="AC17" i="32"/>
  <c r="AC25" i="32"/>
  <c r="AW32" i="13"/>
  <c r="AW34" i="13" s="1"/>
  <c r="AW35" i="13" s="1"/>
  <c r="Y34" i="13"/>
  <c r="Y35" i="13" s="1"/>
  <c r="AU32" i="13"/>
  <c r="AU34" i="13" s="1"/>
  <c r="AU35" i="13" s="1"/>
  <c r="AU36" i="13" s="1"/>
  <c r="W34" i="13"/>
  <c r="W35" i="13" s="1"/>
  <c r="R17" i="32" s="1"/>
  <c r="AE17" i="32"/>
  <c r="AE25" i="32"/>
  <c r="H34" i="13"/>
  <c r="R29" i="13"/>
  <c r="E17" i="29"/>
  <c r="F17" i="29"/>
  <c r="C17" i="29"/>
  <c r="I34" i="13"/>
  <c r="R28" i="13"/>
  <c r="U29" i="13"/>
  <c r="AS29" i="13" s="1"/>
  <c r="AG49" i="13"/>
  <c r="U28" i="13"/>
  <c r="AD149" i="13"/>
  <c r="B18" i="29"/>
  <c r="D18" i="29" s="1"/>
  <c r="BB149" i="13"/>
  <c r="V32" i="13"/>
  <c r="R32" i="13"/>
  <c r="BB30" i="13"/>
  <c r="AF29" i="13"/>
  <c r="AF27" i="13"/>
  <c r="AP27" i="13" s="1"/>
  <c r="AF28" i="13"/>
  <c r="AD108" i="13" l="1"/>
  <c r="AW115" i="13"/>
  <c r="AW118" i="13" s="1"/>
  <c r="Y118" i="13"/>
  <c r="AI57" i="32"/>
  <c r="AI58" i="32"/>
  <c r="AI59" i="32" s="1"/>
  <c r="L57" i="32"/>
  <c r="L58" i="32" s="1"/>
  <c r="Z51" i="13"/>
  <c r="Z63" i="13"/>
  <c r="Z66" i="13" s="1"/>
  <c r="Z69" i="13" s="1"/>
  <c r="AT57" i="32"/>
  <c r="AT58" i="32"/>
  <c r="AT59" i="32" s="1"/>
  <c r="AX116" i="13"/>
  <c r="AQ60" i="32" s="1"/>
  <c r="AQ61" i="32" s="1"/>
  <c r="V60" i="32"/>
  <c r="V61" i="32" s="1"/>
  <c r="V62" i="32" s="1"/>
  <c r="AX63" i="13"/>
  <c r="AX66" i="13" s="1"/>
  <c r="AX51" i="13"/>
  <c r="AM116" i="13"/>
  <c r="AG60" i="32" s="1"/>
  <c r="AG61" i="32" s="1"/>
  <c r="K60" i="32"/>
  <c r="K61" i="32" s="1"/>
  <c r="K62" i="32" s="1"/>
  <c r="AH57" i="32"/>
  <c r="AH58" i="32"/>
  <c r="AH59" i="32" s="1"/>
  <c r="AR62" i="32"/>
  <c r="AR64" i="32" s="1"/>
  <c r="V64" i="32" s="1"/>
  <c r="AR63" i="32"/>
  <c r="AM115" i="13"/>
  <c r="AM118" i="13" s="1"/>
  <c r="O118" i="13"/>
  <c r="W57" i="32"/>
  <c r="W58" i="32" s="1"/>
  <c r="Z118" i="13"/>
  <c r="X59" i="32"/>
  <c r="AB115" i="13"/>
  <c r="AC116" i="13"/>
  <c r="AC117" i="13"/>
  <c r="BA117" i="13" s="1"/>
  <c r="M57" i="32"/>
  <c r="M58" i="32" s="1"/>
  <c r="AL115" i="13"/>
  <c r="AL118" i="13" s="1"/>
  <c r="N118" i="13"/>
  <c r="J63" i="32"/>
  <c r="J66" i="32" s="1"/>
  <c r="J69" i="32" s="1"/>
  <c r="AF66" i="32"/>
  <c r="AF69" i="32" s="1"/>
  <c r="AN116" i="13"/>
  <c r="AH60" i="32" s="1"/>
  <c r="L60" i="32"/>
  <c r="AS57" i="32"/>
  <c r="AS58" i="32"/>
  <c r="AS59" i="32" s="1"/>
  <c r="AV144" i="13"/>
  <c r="AV149" i="13" s="1"/>
  <c r="T63" i="32"/>
  <c r="S66" i="32"/>
  <c r="S69" i="32" s="1"/>
  <c r="AO66" i="32"/>
  <c r="AO69" i="32" s="1"/>
  <c r="AP64" i="32"/>
  <c r="T64" i="32" s="1"/>
  <c r="AP65" i="32"/>
  <c r="T65" i="32" s="1"/>
  <c r="X41" i="13"/>
  <c r="AJ41" i="13"/>
  <c r="R25" i="32"/>
  <c r="X42" i="13"/>
  <c r="AJ42" i="13"/>
  <c r="U47" i="13"/>
  <c r="AS47" i="13" s="1"/>
  <c r="V49" i="13"/>
  <c r="AT49" i="13" s="1"/>
  <c r="W40" i="13"/>
  <c r="AI40" i="13"/>
  <c r="AP25" i="32"/>
  <c r="AW36" i="13"/>
  <c r="AP18" i="32" s="1"/>
  <c r="AP17" i="32"/>
  <c r="R47" i="13"/>
  <c r="AC18" i="32"/>
  <c r="AN18" i="32"/>
  <c r="K36" i="13"/>
  <c r="T25" i="32"/>
  <c r="T17" i="32"/>
  <c r="AP29" i="13"/>
  <c r="AE18" i="32"/>
  <c r="M36" i="13"/>
  <c r="AD28" i="13"/>
  <c r="F18" i="29"/>
  <c r="C18" i="29"/>
  <c r="E18" i="29"/>
  <c r="J34" i="13"/>
  <c r="J35" i="13" s="1"/>
  <c r="AD29" i="13"/>
  <c r="AP28" i="13"/>
  <c r="R49" i="13"/>
  <c r="AS28" i="13"/>
  <c r="AS49" i="13"/>
  <c r="AN17" i="32"/>
  <c r="AN25" i="32"/>
  <c r="B19" i="29"/>
  <c r="D19" i="29" s="1"/>
  <c r="AF49" i="13"/>
  <c r="AP49" i="13" s="1"/>
  <c r="V31" i="13"/>
  <c r="AT31" i="13" s="1"/>
  <c r="X32" i="13"/>
  <c r="AD32" i="13" s="1"/>
  <c r="AP32" i="13"/>
  <c r="BB29" i="13"/>
  <c r="AT32" i="13"/>
  <c r="AF34" i="13"/>
  <c r="AF47" i="13"/>
  <c r="AP47" i="13" s="1"/>
  <c r="AX118" i="13" l="1"/>
  <c r="AX135" i="13" s="1"/>
  <c r="AX138" i="13" s="1"/>
  <c r="N123" i="13"/>
  <c r="N135" i="13"/>
  <c r="N138" i="13" s="1"/>
  <c r="BA116" i="13"/>
  <c r="AC118" i="13"/>
  <c r="Z135" i="13"/>
  <c r="Z138" i="13" s="1"/>
  <c r="Z123" i="13"/>
  <c r="W59" i="32"/>
  <c r="W61" i="32" s="1"/>
  <c r="W62" i="32" s="1"/>
  <c r="AA115" i="13"/>
  <c r="AB117" i="13"/>
  <c r="AZ117" i="13" s="1"/>
  <c r="AB116" i="13"/>
  <c r="V63" i="32"/>
  <c r="V66" i="32" s="1"/>
  <c r="V69" i="32" s="1"/>
  <c r="AR66" i="32"/>
  <c r="AR69" i="32" s="1"/>
  <c r="AH61" i="32"/>
  <c r="AG62" i="32"/>
  <c r="AG64" i="32" s="1"/>
  <c r="K64" i="32" s="1"/>
  <c r="AG63" i="32"/>
  <c r="Y135" i="13"/>
  <c r="Y138" i="13" s="1"/>
  <c r="Y141" i="13" s="1"/>
  <c r="Y123" i="13"/>
  <c r="AL135" i="13"/>
  <c r="AL138" i="13" s="1"/>
  <c r="AL123" i="13"/>
  <c r="M59" i="32"/>
  <c r="Q115" i="13"/>
  <c r="AZ115" i="13"/>
  <c r="O135" i="13"/>
  <c r="O138" i="13" s="1"/>
  <c r="O123" i="13"/>
  <c r="AQ62" i="32"/>
  <c r="AQ64" i="32" s="1"/>
  <c r="U64" i="32" s="1"/>
  <c r="AQ63" i="32"/>
  <c r="AW135" i="13"/>
  <c r="AW138" i="13" s="1"/>
  <c r="AW123" i="13"/>
  <c r="AM123" i="13"/>
  <c r="AM135" i="13"/>
  <c r="AM138" i="13" s="1"/>
  <c r="AX72" i="13"/>
  <c r="Z72" i="13" s="1"/>
  <c r="AX69" i="13"/>
  <c r="L59" i="32"/>
  <c r="L61" i="32" s="1"/>
  <c r="L62" i="32" s="1"/>
  <c r="P115" i="13"/>
  <c r="Q116" i="13"/>
  <c r="Q117" i="13"/>
  <c r="AO117" i="13" s="1"/>
  <c r="X144" i="13"/>
  <c r="X149" i="13" s="1"/>
  <c r="T66" i="32"/>
  <c r="T69" i="32" s="1"/>
  <c r="AP66" i="32"/>
  <c r="AP69" i="32" s="1"/>
  <c r="J42" i="13"/>
  <c r="J40" i="13"/>
  <c r="K42" i="13"/>
  <c r="I40" i="13"/>
  <c r="AG40" i="13" s="1"/>
  <c r="G18" i="32"/>
  <c r="W36" i="13"/>
  <c r="R18" i="32" s="1"/>
  <c r="AW40" i="13"/>
  <c r="I18" i="32"/>
  <c r="Y36" i="13"/>
  <c r="T18" i="32" s="1"/>
  <c r="E19" i="29"/>
  <c r="F19" i="29"/>
  <c r="C19" i="29"/>
  <c r="F25" i="32"/>
  <c r="F17" i="32"/>
  <c r="BB28" i="13"/>
  <c r="R31" i="13"/>
  <c r="L34" i="13"/>
  <c r="L35" i="13" s="1"/>
  <c r="AA17" i="32"/>
  <c r="AA25" i="32"/>
  <c r="AB17" i="32"/>
  <c r="AB25" i="32"/>
  <c r="B20" i="29"/>
  <c r="D20" i="29" s="1"/>
  <c r="AT34" i="13"/>
  <c r="AT35" i="13" s="1"/>
  <c r="AT36" i="13" s="1"/>
  <c r="V34" i="13"/>
  <c r="V35" i="13" s="1"/>
  <c r="AB18" i="32"/>
  <c r="X31" i="13"/>
  <c r="AR34" i="13"/>
  <c r="AV32" i="13"/>
  <c r="BB32" i="13" s="1"/>
  <c r="AF35" i="13"/>
  <c r="AF36" i="13" s="1"/>
  <c r="H35" i="13"/>
  <c r="E23" i="32" l="1"/>
  <c r="P23" i="32" s="1"/>
  <c r="F23" i="32"/>
  <c r="Q23" i="32" s="1"/>
  <c r="F22" i="32"/>
  <c r="Q22" i="32" s="1"/>
  <c r="E22" i="32"/>
  <c r="P22" i="32" s="1"/>
  <c r="D23" i="32"/>
  <c r="Z141" i="13"/>
  <c r="AX123" i="13"/>
  <c r="AB118" i="13"/>
  <c r="AB135" i="13" s="1"/>
  <c r="AB138" i="13" s="1"/>
  <c r="AO116" i="13"/>
  <c r="AI60" i="32" s="1"/>
  <c r="AI61" i="32" s="1"/>
  <c r="M60" i="32"/>
  <c r="M61" i="32" s="1"/>
  <c r="M62" i="32" s="1"/>
  <c r="U63" i="32"/>
  <c r="U66" i="32" s="1"/>
  <c r="U69" i="32" s="1"/>
  <c r="AQ66" i="32"/>
  <c r="AQ69" i="32" s="1"/>
  <c r="K63" i="32"/>
  <c r="K66" i="32" s="1"/>
  <c r="K69" i="32" s="1"/>
  <c r="AG66" i="32"/>
  <c r="AG69" i="32" s="1"/>
  <c r="AT60" i="32"/>
  <c r="AT61" i="32" s="1"/>
  <c r="BA118" i="13"/>
  <c r="AN115" i="13"/>
  <c r="AN118" i="13" s="1"/>
  <c r="P118" i="13"/>
  <c r="AW144" i="13"/>
  <c r="AW141" i="13"/>
  <c r="AX141" i="13"/>
  <c r="AX144" i="13"/>
  <c r="AY115" i="13"/>
  <c r="AY118" i="13" s="1"/>
  <c r="AA118" i="13"/>
  <c r="AO115" i="13"/>
  <c r="Q118" i="13"/>
  <c r="AH62" i="32"/>
  <c r="AH64" i="32" s="1"/>
  <c r="L64" i="32" s="1"/>
  <c r="AH63" i="32"/>
  <c r="AZ116" i="13"/>
  <c r="AS60" i="32" s="1"/>
  <c r="AS61" i="32" s="1"/>
  <c r="X60" i="32"/>
  <c r="X61" i="32" s="1"/>
  <c r="X62" i="32" s="1"/>
  <c r="AC123" i="13"/>
  <c r="AC135" i="13"/>
  <c r="AC138" i="13" s="1"/>
  <c r="O23" i="32"/>
  <c r="I21" i="32"/>
  <c r="T21" i="32" s="1"/>
  <c r="F21" i="32"/>
  <c r="Q21" i="32" s="1"/>
  <c r="D21" i="32"/>
  <c r="O21" i="32" s="1"/>
  <c r="D22" i="32"/>
  <c r="O22" i="32" s="1"/>
  <c r="H21" i="32"/>
  <c r="S21" i="32" s="1"/>
  <c r="E21" i="32"/>
  <c r="P21" i="32" s="1"/>
  <c r="G21" i="32"/>
  <c r="R21" i="32" s="1"/>
  <c r="H41" i="13"/>
  <c r="I41" i="13"/>
  <c r="AG41" i="13" s="1"/>
  <c r="W42" i="13"/>
  <c r="AI42" i="13"/>
  <c r="V40" i="13"/>
  <c r="AH40" i="13"/>
  <c r="V41" i="13"/>
  <c r="AH41" i="13"/>
  <c r="V42" i="13"/>
  <c r="AH42" i="13"/>
  <c r="W41" i="13"/>
  <c r="AI41" i="13"/>
  <c r="H42" i="13"/>
  <c r="R42" i="13" s="1"/>
  <c r="H40" i="13"/>
  <c r="I42" i="13"/>
  <c r="AG42" i="13" s="1"/>
  <c r="L40" i="13"/>
  <c r="M42" i="13"/>
  <c r="F20" i="29"/>
  <c r="C20" i="29"/>
  <c r="E20" i="29"/>
  <c r="AA18" i="32"/>
  <c r="I36" i="13"/>
  <c r="H25" i="32"/>
  <c r="H17" i="32"/>
  <c r="Q17" i="32"/>
  <c r="Q25" i="32"/>
  <c r="Z25" i="32"/>
  <c r="Z17" i="32"/>
  <c r="F20" i="31" s="1"/>
  <c r="AD25" i="32"/>
  <c r="AD17" i="32"/>
  <c r="AM25" i="32"/>
  <c r="AM17" i="32"/>
  <c r="D25" i="32"/>
  <c r="D17" i="32"/>
  <c r="D20" i="31" s="1"/>
  <c r="B21" i="29"/>
  <c r="D21" i="29" s="1"/>
  <c r="AV31" i="13"/>
  <c r="BB31" i="13" s="1"/>
  <c r="AD31" i="13"/>
  <c r="AP31" i="13"/>
  <c r="AP35" i="13"/>
  <c r="F44" i="30" s="1"/>
  <c r="AP34" i="13"/>
  <c r="J36" i="13"/>
  <c r="F18" i="32" s="1"/>
  <c r="AM18" i="32"/>
  <c r="X34" i="13"/>
  <c r="X35" i="13" s="1"/>
  <c r="AD18" i="32"/>
  <c r="K50" i="13"/>
  <c r="J50" i="13"/>
  <c r="I50" i="13"/>
  <c r="L50" i="13"/>
  <c r="H36" i="13"/>
  <c r="T36" i="13" s="1"/>
  <c r="AO118" i="13" l="1"/>
  <c r="AO135" i="13" s="1"/>
  <c r="AO138" i="13" s="1"/>
  <c r="AB123" i="13"/>
  <c r="AZ118" i="13"/>
  <c r="AZ135" i="13" s="1"/>
  <c r="AZ138" i="13" s="1"/>
  <c r="L63" i="32"/>
  <c r="L66" i="32" s="1"/>
  <c r="L69" i="32" s="1"/>
  <c r="AH66" i="32"/>
  <c r="AH69" i="32" s="1"/>
  <c r="AN123" i="13"/>
  <c r="AN135" i="13"/>
  <c r="AN138" i="13" s="1"/>
  <c r="AA135" i="13"/>
  <c r="AA138" i="13" s="1"/>
  <c r="AA141" i="13" s="1"/>
  <c r="AA123" i="13"/>
  <c r="Z144" i="13"/>
  <c r="Z149" i="13" s="1"/>
  <c r="AX149" i="13"/>
  <c r="Y144" i="13"/>
  <c r="Y149" i="13" s="1"/>
  <c r="AW149" i="13"/>
  <c r="BA123" i="13"/>
  <c r="BA135" i="13"/>
  <c r="BA138" i="13" s="1"/>
  <c r="AS62" i="32"/>
  <c r="AS64" i="32" s="1"/>
  <c r="W64" i="32" s="1"/>
  <c r="AS63" i="32"/>
  <c r="Q123" i="13"/>
  <c r="Q135" i="13"/>
  <c r="Q138" i="13" s="1"/>
  <c r="AC141" i="13" s="1"/>
  <c r="AY123" i="13"/>
  <c r="AY135" i="13"/>
  <c r="AY138" i="13" s="1"/>
  <c r="P123" i="13"/>
  <c r="P135" i="13"/>
  <c r="P138" i="13" s="1"/>
  <c r="AB141" i="13" s="1"/>
  <c r="AT62" i="32"/>
  <c r="AT64" i="32" s="1"/>
  <c r="X64" i="32" s="1"/>
  <c r="AT63" i="32"/>
  <c r="AI62" i="32"/>
  <c r="AI64" i="32" s="1"/>
  <c r="M64" i="32" s="1"/>
  <c r="AI63" i="32"/>
  <c r="AG113" i="13"/>
  <c r="AG114" i="13"/>
  <c r="AS114" i="13"/>
  <c r="R114" i="13"/>
  <c r="AF114" i="13"/>
  <c r="AF112" i="13"/>
  <c r="R112" i="13"/>
  <c r="AF113" i="13"/>
  <c r="Y41" i="13"/>
  <c r="AK41" i="13"/>
  <c r="Y42" i="13"/>
  <c r="AW42" i="13" s="1"/>
  <c r="AK42" i="13"/>
  <c r="X40" i="13"/>
  <c r="AJ40" i="13"/>
  <c r="AW41" i="13"/>
  <c r="F21" i="29"/>
  <c r="C21" i="29"/>
  <c r="E21" i="29"/>
  <c r="E18" i="32"/>
  <c r="U36" i="13"/>
  <c r="P18" i="32" s="1"/>
  <c r="S25" i="32"/>
  <c r="S17" i="32"/>
  <c r="Z18" i="32"/>
  <c r="B22" i="29"/>
  <c r="D22" i="29" s="1"/>
  <c r="AV34" i="13"/>
  <c r="AV35" i="13" s="1"/>
  <c r="AV36" i="13" s="1"/>
  <c r="AO18" i="32" s="1"/>
  <c r="AP36" i="13"/>
  <c r="V36" i="13"/>
  <c r="Q18" i="32" s="1"/>
  <c r="L36" i="13"/>
  <c r="H18" i="32" s="1"/>
  <c r="AJ50" i="13"/>
  <c r="AG50" i="13"/>
  <c r="AI50" i="13"/>
  <c r="AH50" i="13"/>
  <c r="AF50" i="13"/>
  <c r="R48" i="13"/>
  <c r="D18" i="32"/>
  <c r="AO123" i="13" l="1"/>
  <c r="AZ123" i="13"/>
  <c r="M63" i="32"/>
  <c r="M66" i="32" s="1"/>
  <c r="M69" i="32" s="1"/>
  <c r="AI66" i="32"/>
  <c r="AI69" i="32" s="1"/>
  <c r="AY144" i="13"/>
  <c r="AY141" i="13"/>
  <c r="W63" i="32"/>
  <c r="W66" i="32" s="1"/>
  <c r="W69" i="32" s="1"/>
  <c r="AS66" i="32"/>
  <c r="AS69" i="32" s="1"/>
  <c r="AZ141" i="13"/>
  <c r="AZ144" i="13"/>
  <c r="X63" i="32"/>
  <c r="X66" i="32" s="1"/>
  <c r="X69" i="32" s="1"/>
  <c r="AT66" i="32"/>
  <c r="AT69" i="32" s="1"/>
  <c r="BA141" i="13"/>
  <c r="BA144" i="13"/>
  <c r="AP113" i="13"/>
  <c r="AP112" i="13"/>
  <c r="D55" i="32"/>
  <c r="AR112" i="13"/>
  <c r="AD112" i="13"/>
  <c r="AP114" i="13"/>
  <c r="AS113" i="13"/>
  <c r="AR114" i="13"/>
  <c r="BB114" i="13" s="1"/>
  <c r="AD114" i="13"/>
  <c r="AR113" i="13"/>
  <c r="AD113" i="13"/>
  <c r="E22" i="29"/>
  <c r="C22" i="29"/>
  <c r="F22" i="29"/>
  <c r="AE23" i="32"/>
  <c r="AP23" i="32"/>
  <c r="F24" i="32"/>
  <c r="F26" i="32" s="1"/>
  <c r="F27" i="32" s="1"/>
  <c r="AB21" i="32"/>
  <c r="Z22" i="32"/>
  <c r="AK22" i="32"/>
  <c r="AD21" i="32"/>
  <c r="H24" i="32"/>
  <c r="H26" i="32" s="1"/>
  <c r="H27" i="32" s="1"/>
  <c r="AC23" i="32"/>
  <c r="AN23" i="32"/>
  <c r="AC21" i="32"/>
  <c r="G24" i="32"/>
  <c r="G26" i="32" s="1"/>
  <c r="G27" i="32" s="1"/>
  <c r="AE22" i="32"/>
  <c r="AP22" i="32"/>
  <c r="AD22" i="32"/>
  <c r="AO22" i="32"/>
  <c r="AB22" i="32"/>
  <c r="AM22" i="32"/>
  <c r="AA22" i="32"/>
  <c r="AL22" i="32"/>
  <c r="D24" i="32"/>
  <c r="Z21" i="32"/>
  <c r="AB23" i="32"/>
  <c r="AM23" i="32"/>
  <c r="E24" i="32"/>
  <c r="E26" i="32" s="1"/>
  <c r="AA21" i="32"/>
  <c r="AO25" i="32"/>
  <c r="AO17" i="32"/>
  <c r="I24" i="32"/>
  <c r="I26" i="32" s="1"/>
  <c r="I27" i="32" s="1"/>
  <c r="AE21" i="32"/>
  <c r="AD23" i="32"/>
  <c r="AO23" i="32"/>
  <c r="AC22" i="32"/>
  <c r="AN22" i="32"/>
  <c r="AA23" i="32"/>
  <c r="AL23" i="32"/>
  <c r="Z23" i="32"/>
  <c r="AK23" i="32"/>
  <c r="B23" i="29"/>
  <c r="D23" i="29" s="1"/>
  <c r="R41" i="13"/>
  <c r="O18" i="32"/>
  <c r="R36" i="13"/>
  <c r="AP50" i="13"/>
  <c r="F48" i="30" s="1"/>
  <c r="R40" i="13"/>
  <c r="X36" i="13"/>
  <c r="S18" i="32" s="1"/>
  <c r="AT40" i="13"/>
  <c r="AU40" i="13"/>
  <c r="U40" i="13"/>
  <c r="AS40" i="13" s="1"/>
  <c r="AV40" i="13"/>
  <c r="U41" i="13"/>
  <c r="AS41" i="13" s="1"/>
  <c r="AT42" i="13"/>
  <c r="AT41" i="13"/>
  <c r="AU41" i="13"/>
  <c r="AV42" i="13"/>
  <c r="AV41" i="13"/>
  <c r="U42" i="13"/>
  <c r="AS42" i="13" s="1"/>
  <c r="AU42" i="13"/>
  <c r="T41" i="13"/>
  <c r="T42" i="13"/>
  <c r="H50" i="13"/>
  <c r="R50" i="13" s="1"/>
  <c r="T40" i="13"/>
  <c r="AF41" i="13"/>
  <c r="AP41" i="13" s="1"/>
  <c r="AF42" i="13"/>
  <c r="AP42" i="13" s="1"/>
  <c r="AF40" i="13"/>
  <c r="J44" i="13" l="1"/>
  <c r="J45" i="13"/>
  <c r="J43" i="13"/>
  <c r="BB113" i="13"/>
  <c r="AC144" i="13"/>
  <c r="AC149" i="13" s="1"/>
  <c r="BA149" i="13"/>
  <c r="AA144" i="13"/>
  <c r="AA149" i="13" s="1"/>
  <c r="AY149" i="13"/>
  <c r="AB144" i="13"/>
  <c r="AB149" i="13" s="1"/>
  <c r="AZ149" i="13"/>
  <c r="K21" i="31"/>
  <c r="D57" i="32"/>
  <c r="D58" i="32" s="1"/>
  <c r="BB112" i="13"/>
  <c r="E23" i="29"/>
  <c r="F23" i="29"/>
  <c r="C23" i="29"/>
  <c r="AE24" i="32"/>
  <c r="AE26" i="32" s="1"/>
  <c r="D26" i="32"/>
  <c r="D27" i="32" s="1"/>
  <c r="D21" i="31"/>
  <c r="AB24" i="32"/>
  <c r="I28" i="32"/>
  <c r="P24" i="32"/>
  <c r="P26" i="32" s="1"/>
  <c r="AL21" i="32"/>
  <c r="AL24" i="32" s="1"/>
  <c r="AL26" i="32" s="1"/>
  <c r="AN21" i="32"/>
  <c r="AN24" i="32" s="1"/>
  <c r="R24" i="32"/>
  <c r="R26" i="32" s="1"/>
  <c r="R27" i="32" s="1"/>
  <c r="R28" i="32" s="1"/>
  <c r="F28" i="32"/>
  <c r="AA24" i="32"/>
  <c r="AK21" i="32"/>
  <c r="AK24" i="32" s="1"/>
  <c r="O24" i="32"/>
  <c r="AD24" i="32"/>
  <c r="G28" i="32"/>
  <c r="S24" i="32"/>
  <c r="S26" i="32" s="1"/>
  <c r="S27" i="32" s="1"/>
  <c r="S28" i="32" s="1"/>
  <c r="AO21" i="32"/>
  <c r="AO24" i="32" s="1"/>
  <c r="AP21" i="32"/>
  <c r="AP24" i="32" s="1"/>
  <c r="T24" i="32"/>
  <c r="T26" i="32" s="1"/>
  <c r="T27" i="32" s="1"/>
  <c r="T28" i="32" s="1"/>
  <c r="Z24" i="32"/>
  <c r="AC24" i="32"/>
  <c r="H28" i="32"/>
  <c r="AM21" i="32"/>
  <c r="AM24" i="32" s="1"/>
  <c r="Q24" i="32"/>
  <c r="Q26" i="32" s="1"/>
  <c r="Q27" i="32" s="1"/>
  <c r="Q28" i="32" s="1"/>
  <c r="B24" i="29"/>
  <c r="D24" i="29" s="1"/>
  <c r="AP40" i="13"/>
  <c r="AD40" i="13"/>
  <c r="AR41" i="13"/>
  <c r="BB41" i="13" s="1"/>
  <c r="AD41" i="13"/>
  <c r="AR42" i="13"/>
  <c r="BB42" i="13" s="1"/>
  <c r="AD42" i="13"/>
  <c r="AD36" i="13"/>
  <c r="AR40" i="13"/>
  <c r="BB40" i="13" s="1"/>
  <c r="H43" i="13" l="1"/>
  <c r="H44" i="13"/>
  <c r="H45" i="13"/>
  <c r="H115" i="13"/>
  <c r="I117" i="13"/>
  <c r="I116" i="13"/>
  <c r="D59" i="32"/>
  <c r="H117" i="13"/>
  <c r="H116" i="13"/>
  <c r="G29" i="32"/>
  <c r="G30" i="32" s="1"/>
  <c r="G31" i="32" s="1"/>
  <c r="AI44" i="13"/>
  <c r="W44" i="13"/>
  <c r="R29" i="32" s="1"/>
  <c r="R30" i="32" s="1"/>
  <c r="R31" i="32" s="1"/>
  <c r="AI43" i="13"/>
  <c r="W43" i="13"/>
  <c r="AK45" i="13"/>
  <c r="Y45" i="13"/>
  <c r="AW45" i="13" s="1"/>
  <c r="AI45" i="13"/>
  <c r="W45" i="13"/>
  <c r="AU45" i="13" s="1"/>
  <c r="F29" i="32"/>
  <c r="F30" i="32" s="1"/>
  <c r="F31" i="32" s="1"/>
  <c r="AH44" i="13"/>
  <c r="AB29" i="32" s="1"/>
  <c r="V44" i="13"/>
  <c r="Q29" i="32" s="1"/>
  <c r="Q30" i="32" s="1"/>
  <c r="Q31" i="32" s="1"/>
  <c r="X45" i="13"/>
  <c r="AV45" i="13" s="1"/>
  <c r="AJ45" i="13"/>
  <c r="X44" i="13"/>
  <c r="S29" i="32" s="1"/>
  <c r="S30" i="32" s="1"/>
  <c r="S31" i="32" s="1"/>
  <c r="AJ44" i="13"/>
  <c r="AD29" i="32" s="1"/>
  <c r="H29" i="32"/>
  <c r="H30" i="32" s="1"/>
  <c r="H31" i="32" s="1"/>
  <c r="X43" i="13"/>
  <c r="AJ43" i="13"/>
  <c r="V45" i="13"/>
  <c r="AT45" i="13" s="1"/>
  <c r="AH45" i="13"/>
  <c r="Y43" i="13"/>
  <c r="AK43" i="13"/>
  <c r="I29" i="32"/>
  <c r="I30" i="32" s="1"/>
  <c r="I31" i="32" s="1"/>
  <c r="AK44" i="13"/>
  <c r="AE29" i="32" s="1"/>
  <c r="Y44" i="13"/>
  <c r="T29" i="32" s="1"/>
  <c r="T30" i="32" s="1"/>
  <c r="T31" i="32" s="1"/>
  <c r="F24" i="29"/>
  <c r="C24" i="29"/>
  <c r="E24" i="29"/>
  <c r="AE27" i="32"/>
  <c r="AE28" i="32" s="1"/>
  <c r="AC26" i="32"/>
  <c r="AC27" i="32"/>
  <c r="AC28" i="32" s="1"/>
  <c r="AK26" i="32"/>
  <c r="G21" i="31"/>
  <c r="D28" i="32"/>
  <c r="AA26" i="32"/>
  <c r="AA27" i="32"/>
  <c r="AA28" i="32" s="1"/>
  <c r="AP26" i="32"/>
  <c r="AP27" i="32"/>
  <c r="AP28" i="32" s="1"/>
  <c r="O26" i="32"/>
  <c r="E21" i="31"/>
  <c r="AN26" i="32"/>
  <c r="AN27" i="32"/>
  <c r="AN28" i="32" s="1"/>
  <c r="Z26" i="32"/>
  <c r="F21" i="31"/>
  <c r="Z27" i="32"/>
  <c r="Z28" i="32" s="1"/>
  <c r="AO26" i="32"/>
  <c r="AO27" i="32"/>
  <c r="AO28" i="32" s="1"/>
  <c r="AM26" i="32"/>
  <c r="AM27" i="32"/>
  <c r="AM28" i="32" s="1"/>
  <c r="AD26" i="32"/>
  <c r="AD27" i="32"/>
  <c r="AD28" i="32" s="1"/>
  <c r="AB26" i="32"/>
  <c r="AB27" i="32"/>
  <c r="AB28" i="32" s="1"/>
  <c r="M46" i="13"/>
  <c r="AC72" i="13"/>
  <c r="L46" i="13"/>
  <c r="K46" i="13"/>
  <c r="AC29" i="32"/>
  <c r="L63" i="13" l="1"/>
  <c r="L66" i="13" s="1"/>
  <c r="L51" i="13"/>
  <c r="K63" i="13"/>
  <c r="K66" i="13" s="1"/>
  <c r="K51" i="13"/>
  <c r="M63" i="13"/>
  <c r="M66" i="13" s="1"/>
  <c r="M51" i="13"/>
  <c r="AF115" i="13"/>
  <c r="R115" i="13"/>
  <c r="H118" i="13"/>
  <c r="H123" i="13" s="1"/>
  <c r="E60" i="32"/>
  <c r="E61" i="32" s="1"/>
  <c r="E62" i="32" s="1"/>
  <c r="AG116" i="13"/>
  <c r="AA60" i="32" s="1"/>
  <c r="AA61" i="32" s="1"/>
  <c r="I118" i="13"/>
  <c r="AG117" i="13"/>
  <c r="AS117" i="13"/>
  <c r="AF117" i="13"/>
  <c r="R117" i="13"/>
  <c r="D60" i="32"/>
  <c r="D61" i="32" s="1"/>
  <c r="D62" i="32" s="1"/>
  <c r="AF116" i="13"/>
  <c r="R116" i="13"/>
  <c r="X46" i="13"/>
  <c r="AK46" i="13"/>
  <c r="AK51" i="13" s="1"/>
  <c r="W46" i="13"/>
  <c r="Y46" i="13"/>
  <c r="AJ46" i="13"/>
  <c r="AI46" i="13"/>
  <c r="AE30" i="32"/>
  <c r="AE32" i="32" s="1"/>
  <c r="AB30" i="32"/>
  <c r="AB32" i="32" s="1"/>
  <c r="AD30" i="32"/>
  <c r="AD32" i="32" s="1"/>
  <c r="AC30" i="32"/>
  <c r="AC32" i="32" s="1"/>
  <c r="AW43" i="13"/>
  <c r="AW44" i="13"/>
  <c r="AP29" i="32" s="1"/>
  <c r="AP30" i="32" s="1"/>
  <c r="AP32" i="32" s="1"/>
  <c r="AV44" i="13"/>
  <c r="AO29" i="32" s="1"/>
  <c r="AO30" i="32" s="1"/>
  <c r="AO32" i="32" s="1"/>
  <c r="AT44" i="13"/>
  <c r="AM29" i="32" s="1"/>
  <c r="AM30" i="32" s="1"/>
  <c r="AM32" i="32" s="1"/>
  <c r="AU43" i="13"/>
  <c r="AV43" i="13"/>
  <c r="AU44" i="13"/>
  <c r="AN29" i="32" s="1"/>
  <c r="AN30" i="32" s="1"/>
  <c r="AN32" i="32" s="1"/>
  <c r="AP117" i="13" l="1"/>
  <c r="AK63" i="13"/>
  <c r="AK66" i="13" s="1"/>
  <c r="AD31" i="32"/>
  <c r="AD33" i="32" s="1"/>
  <c r="H33" i="32" s="1"/>
  <c r="I135" i="13"/>
  <c r="I138" i="13" s="1"/>
  <c r="I123" i="13"/>
  <c r="AJ63" i="13"/>
  <c r="AJ66" i="13" s="1"/>
  <c r="AJ51" i="13"/>
  <c r="AI63" i="13"/>
  <c r="AI66" i="13" s="1"/>
  <c r="AI51" i="13"/>
  <c r="AP116" i="13"/>
  <c r="Z60" i="32"/>
  <c r="Z61" i="32" s="1"/>
  <c r="AA63" i="32"/>
  <c r="AA62" i="32"/>
  <c r="AD117" i="13"/>
  <c r="AR117" i="13"/>
  <c r="BB117" i="13" s="1"/>
  <c r="AS116" i="13"/>
  <c r="U135" i="13"/>
  <c r="U138" i="13" s="1"/>
  <c r="AP115" i="13"/>
  <c r="AF118" i="13"/>
  <c r="AF123" i="13" s="1"/>
  <c r="AR116" i="13"/>
  <c r="AK60" i="32" s="1"/>
  <c r="AK61" i="32" s="1"/>
  <c r="AD116" i="13"/>
  <c r="AG118" i="13"/>
  <c r="R118" i="13"/>
  <c r="R123" i="13" s="1"/>
  <c r="H135" i="13"/>
  <c r="AR115" i="13"/>
  <c r="AD115" i="13"/>
  <c r="AE31" i="32"/>
  <c r="AE34" i="32" s="1"/>
  <c r="I34" i="32" s="1"/>
  <c r="AB31" i="32"/>
  <c r="AB34" i="32" s="1"/>
  <c r="F34" i="32" s="1"/>
  <c r="AC31" i="32"/>
  <c r="AC33" i="32" s="1"/>
  <c r="G33" i="32" s="1"/>
  <c r="AD34" i="32"/>
  <c r="H34" i="32" s="1"/>
  <c r="AN31" i="32"/>
  <c r="AM31" i="32"/>
  <c r="AP31" i="32"/>
  <c r="H32" i="32"/>
  <c r="AO31" i="32"/>
  <c r="F32" i="32"/>
  <c r="G32" i="32"/>
  <c r="I32" i="32"/>
  <c r="AW46" i="13"/>
  <c r="AV46" i="13"/>
  <c r="AU46" i="13"/>
  <c r="U141" i="13" l="1"/>
  <c r="AG135" i="13"/>
  <c r="AG138" i="13" s="1"/>
  <c r="AG123" i="13"/>
  <c r="E63" i="32"/>
  <c r="AK63" i="32"/>
  <c r="AK62" i="32"/>
  <c r="Z63" i="32"/>
  <c r="Z62" i="32"/>
  <c r="AS118" i="13"/>
  <c r="AL60" i="32"/>
  <c r="AL61" i="32" s="1"/>
  <c r="AA65" i="32"/>
  <c r="E65" i="32" s="1"/>
  <c r="AA64" i="32"/>
  <c r="E64" i="32" s="1"/>
  <c r="BB116" i="13"/>
  <c r="BB115" i="13"/>
  <c r="AR118" i="13"/>
  <c r="AR123" i="13" s="1"/>
  <c r="AP118" i="13"/>
  <c r="AP123" i="13" s="1"/>
  <c r="AF135" i="13"/>
  <c r="AF138" i="13" s="1"/>
  <c r="R135" i="13"/>
  <c r="H138" i="13"/>
  <c r="R138" i="13" s="1"/>
  <c r="T135" i="13"/>
  <c r="T138" i="13" s="1"/>
  <c r="AD118" i="13"/>
  <c r="AE33" i="32"/>
  <c r="I33" i="32" s="1"/>
  <c r="I35" i="32" s="1"/>
  <c r="I38" i="32" s="1"/>
  <c r="AB33" i="32"/>
  <c r="F33" i="32" s="1"/>
  <c r="F35" i="32" s="1"/>
  <c r="F38" i="32" s="1"/>
  <c r="AC34" i="32"/>
  <c r="G34" i="32" s="1"/>
  <c r="G35" i="32" s="1"/>
  <c r="G38" i="32" s="1"/>
  <c r="AO34" i="32"/>
  <c r="S34" i="32" s="1"/>
  <c r="AO33" i="32"/>
  <c r="S33" i="32" s="1"/>
  <c r="AP34" i="32"/>
  <c r="T34" i="32" s="1"/>
  <c r="AP33" i="32"/>
  <c r="T33" i="32" s="1"/>
  <c r="AM33" i="32"/>
  <c r="Q33" i="32" s="1"/>
  <c r="AM34" i="32"/>
  <c r="Q34" i="32" s="1"/>
  <c r="AN34" i="32"/>
  <c r="R34" i="32" s="1"/>
  <c r="AN33" i="32"/>
  <c r="R33" i="32" s="1"/>
  <c r="S32" i="32"/>
  <c r="Q32" i="32"/>
  <c r="AD35" i="32"/>
  <c r="AD38" i="32" s="1"/>
  <c r="T32" i="32"/>
  <c r="R32" i="32"/>
  <c r="H35" i="32"/>
  <c r="H38" i="32" s="1"/>
  <c r="AE35" i="32" l="1"/>
  <c r="AE38" i="32" s="1"/>
  <c r="AS135" i="13"/>
  <c r="AS138" i="13" s="1"/>
  <c r="AS123" i="13"/>
  <c r="AD135" i="13"/>
  <c r="AD138" i="13" s="1"/>
  <c r="AD141" i="13" s="1"/>
  <c r="AD123" i="13"/>
  <c r="Z65" i="32"/>
  <c r="D65" i="32" s="1"/>
  <c r="Z64" i="32"/>
  <c r="D64" i="32" s="1"/>
  <c r="O63" i="32"/>
  <c r="AP135" i="13"/>
  <c r="AP138" i="13" s="1"/>
  <c r="K47" i="30"/>
  <c r="K49" i="30" s="1"/>
  <c r="K52" i="30" s="1"/>
  <c r="AL62" i="32"/>
  <c r="AL63" i="32"/>
  <c r="D63" i="32"/>
  <c r="AA66" i="32"/>
  <c r="AA69" i="32" s="1"/>
  <c r="AK64" i="32"/>
  <c r="O64" i="32" s="1"/>
  <c r="AK65" i="32"/>
  <c r="O65" i="32" s="1"/>
  <c r="E66" i="32"/>
  <c r="E69" i="32" s="1"/>
  <c r="T141" i="13"/>
  <c r="AR135" i="13"/>
  <c r="AR138" i="13" s="1"/>
  <c r="BB118" i="13"/>
  <c r="BB123" i="13" s="1"/>
  <c r="AF144" i="13"/>
  <c r="AL144" i="13"/>
  <c r="AI144" i="13"/>
  <c r="AN144" i="13"/>
  <c r="AK144" i="13"/>
  <c r="AG144" i="13"/>
  <c r="I144" i="13" s="1"/>
  <c r="AO144" i="13"/>
  <c r="AH144" i="13"/>
  <c r="AJ144" i="13"/>
  <c r="AM144" i="13"/>
  <c r="AC35" i="32"/>
  <c r="AC38" i="32" s="1"/>
  <c r="AB35" i="32"/>
  <c r="AB38" i="32" s="1"/>
  <c r="T35" i="32"/>
  <c r="T38" i="32" s="1"/>
  <c r="AM35" i="32"/>
  <c r="AM38" i="32" s="1"/>
  <c r="AN35" i="32"/>
  <c r="AN38" i="32" s="1"/>
  <c r="Q35" i="32"/>
  <c r="Q38" i="32" s="1"/>
  <c r="S35" i="32"/>
  <c r="S38" i="32" s="1"/>
  <c r="R35" i="32"/>
  <c r="R38" i="32" s="1"/>
  <c r="AP35" i="32"/>
  <c r="AP38" i="32" s="1"/>
  <c r="AO35" i="32"/>
  <c r="AO38" i="32" s="1"/>
  <c r="AS141" i="13" l="1"/>
  <c r="AS144" i="13"/>
  <c r="D66" i="32"/>
  <c r="O66" i="32"/>
  <c r="BB135" i="13"/>
  <c r="BB138" i="13" s="1"/>
  <c r="BB141" i="13" s="1"/>
  <c r="L47" i="30"/>
  <c r="L49" i="30" s="1"/>
  <c r="L52" i="30" s="1"/>
  <c r="L54" i="30" s="1"/>
  <c r="L59" i="30" s="1"/>
  <c r="P63" i="32"/>
  <c r="Z66" i="32"/>
  <c r="AL64" i="32"/>
  <c r="P64" i="32" s="1"/>
  <c r="AL65" i="32"/>
  <c r="P65" i="32" s="1"/>
  <c r="AK66" i="32"/>
  <c r="AW146" i="13"/>
  <c r="M144" i="13"/>
  <c r="Y146" i="13" s="1"/>
  <c r="AX146" i="13"/>
  <c r="N144" i="13"/>
  <c r="Z146" i="13" s="1"/>
  <c r="AR144" i="13"/>
  <c r="AR141" i="13"/>
  <c r="J144" i="13"/>
  <c r="V146" i="13" s="1"/>
  <c r="AT146" i="13"/>
  <c r="O144" i="13"/>
  <c r="AA146" i="13" s="1"/>
  <c r="AY146" i="13"/>
  <c r="Q144" i="13"/>
  <c r="AC146" i="13" s="1"/>
  <c r="BA146" i="13"/>
  <c r="AZ146" i="13"/>
  <c r="P144" i="13"/>
  <c r="AB146" i="13" s="1"/>
  <c r="H144" i="13"/>
  <c r="AP144" i="13"/>
  <c r="R144" i="13" s="1"/>
  <c r="AD146" i="13" s="1"/>
  <c r="AV146" i="13"/>
  <c r="L144" i="13"/>
  <c r="X146" i="13" s="1"/>
  <c r="K144" i="13"/>
  <c r="W146" i="13" s="1"/>
  <c r="AU146" i="13"/>
  <c r="AS146" i="13" l="1"/>
  <c r="AS149" i="13"/>
  <c r="U144" i="13"/>
  <c r="P66" i="32"/>
  <c r="P69" i="32" s="1"/>
  <c r="AL66" i="32"/>
  <c r="AL69" i="32" s="1"/>
  <c r="N22" i="31"/>
  <c r="N23" i="31" s="1"/>
  <c r="AK69" i="32"/>
  <c r="Z69" i="32"/>
  <c r="M22" i="31"/>
  <c r="M23" i="31" s="1"/>
  <c r="O69" i="32"/>
  <c r="L22" i="31"/>
  <c r="L23" i="31" s="1"/>
  <c r="BB146" i="13"/>
  <c r="K22" i="31"/>
  <c r="K23" i="31" s="1"/>
  <c r="D69" i="32"/>
  <c r="AR146" i="13"/>
  <c r="AR149" i="13"/>
  <c r="T144" i="13"/>
  <c r="N24" i="31" l="1"/>
  <c r="L24" i="31"/>
  <c r="U149" i="13"/>
  <c r="U146" i="13"/>
  <c r="T149" i="13"/>
  <c r="T146" i="13"/>
  <c r="AS33" i="13"/>
  <c r="BB33" i="13" s="1"/>
  <c r="AS34" i="13" l="1"/>
  <c r="BB34" i="13" s="1"/>
  <c r="U33" i="13"/>
  <c r="AD33" i="13" s="1"/>
  <c r="R34" i="13"/>
  <c r="AS35" i="13" l="1"/>
  <c r="AS36" i="13" s="1"/>
  <c r="U34" i="13"/>
  <c r="AD34" i="13" s="1"/>
  <c r="I35" i="13"/>
  <c r="AL18" i="32" l="1"/>
  <c r="E25" i="32"/>
  <c r="E27" i="32" s="1"/>
  <c r="E17" i="32"/>
  <c r="AL27" i="32"/>
  <c r="AL28" i="32" s="1"/>
  <c r="AL25" i="32"/>
  <c r="AL17" i="32"/>
  <c r="R35" i="13"/>
  <c r="U35" i="13"/>
  <c r="I43" i="13" l="1"/>
  <c r="I45" i="13"/>
  <c r="I44" i="13"/>
  <c r="AG44" i="13" s="1"/>
  <c r="P25" i="32"/>
  <c r="P27" i="32" s="1"/>
  <c r="P28" i="32" s="1"/>
  <c r="P17" i="32"/>
  <c r="E28" i="32"/>
  <c r="D29" i="32"/>
  <c r="D30" i="32" s="1"/>
  <c r="D31" i="32" s="1"/>
  <c r="AR27" i="13"/>
  <c r="AG43" i="13" l="1"/>
  <c r="R43" i="13"/>
  <c r="E29" i="32"/>
  <c r="E30" i="32" s="1"/>
  <c r="E31" i="32" s="1"/>
  <c r="V43" i="13"/>
  <c r="V46" i="13" s="1"/>
  <c r="AH43" i="13"/>
  <c r="AH46" i="13" s="1"/>
  <c r="U45" i="13"/>
  <c r="AG45" i="13"/>
  <c r="AG46" i="13" s="1"/>
  <c r="AG51" i="13" s="1"/>
  <c r="J46" i="13"/>
  <c r="AD35" i="13"/>
  <c r="O17" i="32"/>
  <c r="E20" i="31" s="1"/>
  <c r="O25" i="32"/>
  <c r="O27" i="32" s="1"/>
  <c r="O28" i="32" s="1"/>
  <c r="R44" i="13"/>
  <c r="R45" i="13"/>
  <c r="I46" i="13"/>
  <c r="I51" i="13" s="1"/>
  <c r="AR47" i="13"/>
  <c r="BB47" i="13" s="1"/>
  <c r="AD47" i="13"/>
  <c r="AR35" i="13"/>
  <c r="AR36" i="13" s="1"/>
  <c r="BB27" i="13"/>
  <c r="AR49" i="13"/>
  <c r="BB49" i="13" s="1"/>
  <c r="AD49" i="13"/>
  <c r="AF45" i="13"/>
  <c r="T45" i="13"/>
  <c r="AR45" i="13" s="1"/>
  <c r="AF44" i="13"/>
  <c r="Z29" i="32" s="1"/>
  <c r="Z30" i="32" s="1"/>
  <c r="Z32" i="32" s="1"/>
  <c r="T44" i="13"/>
  <c r="O29" i="32" s="1"/>
  <c r="AF43" i="13"/>
  <c r="T43" i="13"/>
  <c r="H46" i="13"/>
  <c r="H51" i="13" s="1"/>
  <c r="U43" i="13"/>
  <c r="AA29" i="32"/>
  <c r="AA30" i="32" s="1"/>
  <c r="AA32" i="32" s="1"/>
  <c r="U44" i="13"/>
  <c r="P29" i="32" s="1"/>
  <c r="P30" i="32" s="1"/>
  <c r="P31" i="32" s="1"/>
  <c r="J63" i="13" l="1"/>
  <c r="J66" i="13" s="1"/>
  <c r="J51" i="13"/>
  <c r="AH63" i="13"/>
  <c r="AH66" i="13" s="1"/>
  <c r="AH51" i="13"/>
  <c r="AT43" i="13"/>
  <c r="AT46" i="13" s="1"/>
  <c r="AK18" i="32"/>
  <c r="BB36" i="13"/>
  <c r="O30" i="32"/>
  <c r="O31" i="32" s="1"/>
  <c r="AK25" i="32"/>
  <c r="AK27" i="32"/>
  <c r="AK28" i="32" s="1"/>
  <c r="AK17" i="32"/>
  <c r="G20" i="31" s="1"/>
  <c r="AA31" i="32"/>
  <c r="Z31" i="32"/>
  <c r="R46" i="13"/>
  <c r="R51" i="13" s="1"/>
  <c r="BB35" i="13"/>
  <c r="AD45" i="13"/>
  <c r="AP45" i="13"/>
  <c r="AP43" i="13"/>
  <c r="AD43" i="13"/>
  <c r="AD44" i="13"/>
  <c r="AP44" i="13"/>
  <c r="AR44" i="13"/>
  <c r="AK29" i="32" s="1"/>
  <c r="AF46" i="13"/>
  <c r="AR43" i="13"/>
  <c r="T46" i="13"/>
  <c r="H63" i="13"/>
  <c r="H66" i="13" s="1"/>
  <c r="I63" i="13"/>
  <c r="AS45" i="13"/>
  <c r="BB45" i="13" s="1"/>
  <c r="AS44" i="13"/>
  <c r="AL29" i="32" s="1"/>
  <c r="AL30" i="32" s="1"/>
  <c r="AL32" i="32" s="1"/>
  <c r="AS43" i="13"/>
  <c r="U46" i="13"/>
  <c r="AF63" i="13" l="1"/>
  <c r="AF66" i="13" s="1"/>
  <c r="AK72" i="13" s="1"/>
  <c r="AF51" i="13"/>
  <c r="AK30" i="32"/>
  <c r="AK32" i="32" s="1"/>
  <c r="AA34" i="32"/>
  <c r="E34" i="32" s="1"/>
  <c r="AA33" i="32"/>
  <c r="E33" i="32" s="1"/>
  <c r="Z34" i="32"/>
  <c r="D34" i="32" s="1"/>
  <c r="Z33" i="32"/>
  <c r="D33" i="32" s="1"/>
  <c r="D32" i="32"/>
  <c r="E32" i="32"/>
  <c r="AL31" i="32"/>
  <c r="BB72" i="13"/>
  <c r="G56" i="30" s="1"/>
  <c r="G44" i="30"/>
  <c r="P44" i="30" s="1"/>
  <c r="AN72" i="13"/>
  <c r="AM72" i="13"/>
  <c r="AF72" i="13"/>
  <c r="BB43" i="13"/>
  <c r="AD46" i="13"/>
  <c r="AP46" i="13"/>
  <c r="I66" i="13"/>
  <c r="R66" i="13" s="1"/>
  <c r="R63" i="13"/>
  <c r="BB44" i="13"/>
  <c r="AR46" i="13"/>
  <c r="AG63" i="13"/>
  <c r="AS46" i="13"/>
  <c r="AO72" i="13" l="1"/>
  <c r="Q72" i="13" s="1"/>
  <c r="AC74" i="13" s="1"/>
  <c r="AP63" i="13"/>
  <c r="AP66" i="13" s="1"/>
  <c r="AP51" i="13"/>
  <c r="AG72" i="13"/>
  <c r="I72" i="13" s="1"/>
  <c r="AH72" i="13"/>
  <c r="J72" i="13" s="1"/>
  <c r="AI72" i="13"/>
  <c r="K72" i="13" s="1"/>
  <c r="AL72" i="13"/>
  <c r="N72" i="13" s="1"/>
  <c r="Z74" i="13" s="1"/>
  <c r="AJ72" i="13"/>
  <c r="L72" i="13" s="1"/>
  <c r="AD72" i="13"/>
  <c r="AK31" i="32"/>
  <c r="AK34" i="32" s="1"/>
  <c r="O34" i="32" s="1"/>
  <c r="AL33" i="32"/>
  <c r="P33" i="32" s="1"/>
  <c r="AL34" i="32"/>
  <c r="P34" i="32" s="1"/>
  <c r="P32" i="32"/>
  <c r="AA35" i="32"/>
  <c r="AA38" i="32" s="1"/>
  <c r="D35" i="32"/>
  <c r="E35" i="32"/>
  <c r="E38" i="32" s="1"/>
  <c r="O32" i="32"/>
  <c r="Z35" i="32"/>
  <c r="R44" i="30"/>
  <c r="Q44" i="30"/>
  <c r="M72" i="13"/>
  <c r="H72" i="13"/>
  <c r="O72" i="13"/>
  <c r="AA74" i="13" s="1"/>
  <c r="AY74" i="13"/>
  <c r="P72" i="13"/>
  <c r="AB74" i="13" s="1"/>
  <c r="AZ74" i="13"/>
  <c r="F47" i="30"/>
  <c r="F49" i="30" s="1"/>
  <c r="BB46" i="13"/>
  <c r="AG66" i="13"/>
  <c r="BA74" i="13" l="1"/>
  <c r="AX74" i="13"/>
  <c r="AP72" i="13"/>
  <c r="F56" i="30" s="1"/>
  <c r="P56" i="30" s="1"/>
  <c r="G47" i="30"/>
  <c r="P47" i="30" s="1"/>
  <c r="AK33" i="32"/>
  <c r="O33" i="32" s="1"/>
  <c r="O35" i="32" s="1"/>
  <c r="Z38" i="32"/>
  <c r="F22" i="31"/>
  <c r="D38" i="32"/>
  <c r="D22" i="31"/>
  <c r="AL35" i="32"/>
  <c r="AL38" i="32" s="1"/>
  <c r="P35" i="32"/>
  <c r="P38" i="32" s="1"/>
  <c r="F52" i="30"/>
  <c r="R72" i="13" l="1"/>
  <c r="AK35" i="32"/>
  <c r="G22" i="31" s="1"/>
  <c r="O38" i="32"/>
  <c r="E22" i="31"/>
  <c r="R56" i="30"/>
  <c r="Q56" i="30"/>
  <c r="R47" i="30"/>
  <c r="Q47" i="30"/>
  <c r="F23" i="31"/>
  <c r="D23" i="31"/>
  <c r="AK38" i="32" l="1"/>
  <c r="E23" i="31"/>
  <c r="E24" i="31" s="1"/>
  <c r="G23" i="31"/>
  <c r="G24" i="31" s="1"/>
  <c r="T50" i="13"/>
  <c r="AR48" i="13"/>
  <c r="AR50" i="13" s="1"/>
  <c r="AR51" i="13" s="1"/>
  <c r="T63" i="13" l="1"/>
  <c r="T66" i="13" s="1"/>
  <c r="T69" i="13" s="1"/>
  <c r="T51" i="13"/>
  <c r="AR63" i="13"/>
  <c r="AR66" i="13" s="1"/>
  <c r="AR72" i="13" l="1"/>
  <c r="T72" i="13" s="1"/>
  <c r="T74" i="13" s="1"/>
  <c r="AR69" i="13"/>
  <c r="AR74" i="13" l="1"/>
  <c r="AD48" i="13"/>
  <c r="V50" i="13"/>
  <c r="AU48" i="13"/>
  <c r="AU50" i="13" s="1"/>
  <c r="W50" i="13"/>
  <c r="U50" i="13"/>
  <c r="AT48" i="13"/>
  <c r="AT50" i="13" s="1"/>
  <c r="AV48" i="13"/>
  <c r="AV50" i="13" s="1"/>
  <c r="X50" i="13"/>
  <c r="AW48" i="13"/>
  <c r="AW50" i="13" s="1"/>
  <c r="Y50" i="13"/>
  <c r="AS48" i="13"/>
  <c r="Y63" i="13" l="1"/>
  <c r="Y66" i="13" s="1"/>
  <c r="Y69" i="13" s="1"/>
  <c r="Y51" i="13"/>
  <c r="AV63" i="13"/>
  <c r="AV66" i="13" s="1"/>
  <c r="AV69" i="13" s="1"/>
  <c r="AV51" i="13"/>
  <c r="W63" i="13"/>
  <c r="W66" i="13" s="1"/>
  <c r="W69" i="13" s="1"/>
  <c r="W51" i="13"/>
  <c r="AW63" i="13"/>
  <c r="AW66" i="13" s="1"/>
  <c r="AW72" i="13" s="1"/>
  <c r="Y72" i="13" s="1"/>
  <c r="Y74" i="13" s="1"/>
  <c r="AW51" i="13"/>
  <c r="AT63" i="13"/>
  <c r="AT66" i="13" s="1"/>
  <c r="AT72" i="13" s="1"/>
  <c r="V72" i="13" s="1"/>
  <c r="AT51" i="13"/>
  <c r="AU63" i="13"/>
  <c r="AU66" i="13" s="1"/>
  <c r="AU69" i="13" s="1"/>
  <c r="AU51" i="13"/>
  <c r="BB48" i="13"/>
  <c r="X63" i="13"/>
  <c r="X66" i="13" s="1"/>
  <c r="X69" i="13" s="1"/>
  <c r="X51" i="13"/>
  <c r="U63" i="13"/>
  <c r="U66" i="13" s="1"/>
  <c r="U69" i="13" s="1"/>
  <c r="U51" i="13"/>
  <c r="V63" i="13"/>
  <c r="V66" i="13" s="1"/>
  <c r="V69" i="13" s="1"/>
  <c r="V51" i="13"/>
  <c r="AS50" i="13"/>
  <c r="AS63" i="13" s="1"/>
  <c r="AS66" i="13" s="1"/>
  <c r="AV72" i="13"/>
  <c r="X72" i="13" s="1"/>
  <c r="AD50" i="13"/>
  <c r="AU72" i="13" l="1"/>
  <c r="W72" i="13" s="1"/>
  <c r="W74" i="13" s="1"/>
  <c r="AW69" i="13"/>
  <c r="AW74" i="13" s="1"/>
  <c r="X74" i="13"/>
  <c r="V74" i="13"/>
  <c r="AT69" i="13"/>
  <c r="BB50" i="13"/>
  <c r="AS51" i="13"/>
  <c r="AD63" i="13"/>
  <c r="AD66" i="13" s="1"/>
  <c r="AD69" i="13" s="1"/>
  <c r="AD74" i="13" s="1"/>
  <c r="AD51" i="13"/>
  <c r="AU74" i="13"/>
  <c r="AV74" i="13"/>
  <c r="AS72" i="13"/>
  <c r="U72" i="13" s="1"/>
  <c r="U74" i="13" s="1"/>
  <c r="AS69" i="13"/>
  <c r="AT74" i="13"/>
  <c r="BB51" i="13" l="1"/>
  <c r="BB63" i="13"/>
  <c r="BB66" i="13" s="1"/>
  <c r="BB69" i="13" s="1"/>
  <c r="BB74" i="13" s="1"/>
  <c r="G48" i="30"/>
  <c r="AS74" i="13"/>
  <c r="G49" i="30" l="1"/>
  <c r="G52" i="30" s="1"/>
  <c r="G54" i="30" s="1"/>
  <c r="P48" i="30"/>
  <c r="P49" i="30" l="1"/>
  <c r="P52" i="30" s="1"/>
  <c r="Q48" i="30"/>
  <c r="Q49" i="30" s="1"/>
  <c r="Q52" i="30" s="1"/>
  <c r="R48" i="30"/>
  <c r="R49" i="30" s="1"/>
  <c r="R52" i="30" s="1"/>
  <c r="P54" i="30"/>
  <c r="G59" i="30"/>
  <c r="P59" i="30" l="1"/>
  <c r="Q54" i="30"/>
  <c r="R54" i="30"/>
  <c r="R59" i="30" l="1"/>
  <c r="Q59" i="30"/>
  <c r="E15" i="15"/>
  <c r="F20" i="30" s="1"/>
  <c r="F21" i="30"/>
  <c r="M15" i="15"/>
</calcChain>
</file>

<file path=xl/comments1.xml><?xml version="1.0" encoding="utf-8"?>
<comments xmlns="http://schemas.openxmlformats.org/spreadsheetml/2006/main">
  <authors>
    <author>Hans Schwartz</author>
  </authors>
  <commentList>
    <comment ref="D33" authorId="0" shapeId="0">
      <text>
        <r>
          <rPr>
            <b/>
            <sz val="9"/>
            <color indexed="81"/>
            <rFont val="Tahoma"/>
            <family val="2"/>
          </rPr>
          <t>TOELICHTING:</t>
        </r>
        <r>
          <rPr>
            <sz val="9"/>
            <color indexed="81"/>
            <rFont val="Tahoma"/>
            <family val="2"/>
          </rPr>
          <t xml:space="preserve">
Deze toeslag wordt toegekend aan leraren die voldoen aan artikel 6.13 van de cao po, zie tabellen.</t>
        </r>
      </text>
    </comment>
    <comment ref="L33" authorId="0" shapeId="0">
      <text>
        <r>
          <rPr>
            <b/>
            <sz val="9"/>
            <color indexed="81"/>
            <rFont val="Tahoma"/>
            <family val="2"/>
          </rPr>
          <t>TOELICHTING:</t>
        </r>
        <r>
          <rPr>
            <sz val="9"/>
            <color indexed="81"/>
            <rFont val="Tahoma"/>
            <family val="2"/>
          </rPr>
          <t xml:space="preserve">
Deze toeslag wordt toegekend aan leraren die voldoen aan artikel 6.13 van de cao po, zie tabellen.</t>
        </r>
      </text>
    </comment>
  </commentList>
</comments>
</file>

<file path=xl/comments2.xml><?xml version="1.0" encoding="utf-8"?>
<comments xmlns="http://schemas.openxmlformats.org/spreadsheetml/2006/main">
  <authors>
    <author>Bé Keizer</author>
    <author>Keizer</author>
  </authors>
  <commentList>
    <comment ref="F22" authorId="0" shapeId="0">
      <text>
        <r>
          <rPr>
            <sz val="8"/>
            <color indexed="81"/>
            <rFont val="Tahoma"/>
            <family val="2"/>
          </rPr>
          <t xml:space="preserve">
Alleen bij de functie ID1 geldt dat er sprake is van een aanloopschaal van twee regels. Deze aanloopschalen zijn in dit instrument buiten beschouwing gelaten, gestart wordt met regel 1. 
</t>
        </r>
      </text>
    </comment>
    <comment ref="F36" authorId="1" shapeId="0">
      <text>
        <r>
          <rPr>
            <sz val="9"/>
            <color indexed="81"/>
            <rFont val="Tahoma"/>
            <family val="2"/>
          </rPr>
          <t xml:space="preserve">
Het jaarinkomen ABP wordt in januari van elk jaar bepaald.</t>
        </r>
      </text>
    </comment>
    <comment ref="F108" authorId="1" shapeId="0">
      <text>
        <r>
          <rPr>
            <sz val="9"/>
            <color indexed="81"/>
            <rFont val="Tahoma"/>
            <family val="2"/>
          </rPr>
          <t xml:space="preserve">
Het jaarinkomen ABP wordt in januari van elk jaar bepaald.</t>
        </r>
      </text>
    </comment>
  </commentList>
</comments>
</file>

<file path=xl/comments3.xml><?xml version="1.0" encoding="utf-8"?>
<comments xmlns="http://schemas.openxmlformats.org/spreadsheetml/2006/main">
  <authors>
    <author>Keizer</author>
    <author>Kitty Attema</author>
    <author>B Keizer</author>
    <author>tc={467628D8-0381-49E1-AE9E-625D619CF7EF}</author>
    <author>tc={86E44924-7591-4472-B4F9-B55A766135C5}</author>
    <author>tc={C8EE2AFF-E5DD-48DC-AAEB-7418239A4291}</author>
    <author>tc={25DDD9C3-AFAC-43EB-9CC8-FAD1CB873490}</author>
    <author>tc={F961C9FD-CCDB-4161-84EC-24AD1A770A83}</author>
    <author>tc={0FCB6386-B34F-494E-9137-D791FCBF88BB}</author>
    <author>tc={1F427F66-6D7C-4410-BE2C-48058AEF08B4}</author>
  </authors>
  <commentList>
    <comment ref="A12" authorId="0" shapeId="0">
      <text>
        <r>
          <rPr>
            <sz val="9"/>
            <color indexed="81"/>
            <rFont val="Tahoma"/>
            <family val="2"/>
          </rPr>
          <t xml:space="preserve">
De premie voor KinderOpvang is hier ondergebracht.</t>
        </r>
      </text>
    </comment>
    <comment ref="C12" authorId="1" shapeId="0">
      <text>
        <r>
          <rPr>
            <sz val="9"/>
            <color indexed="81"/>
            <rFont val="Tahoma"/>
            <family val="2"/>
          </rPr>
          <t>dit is het percentage voor middelgrote en grote werkgevers</t>
        </r>
        <r>
          <rPr>
            <b/>
            <sz val="9"/>
            <color indexed="81"/>
            <rFont val="Tahoma"/>
            <family val="2"/>
          </rPr>
          <t xml:space="preserve">
</t>
        </r>
      </text>
    </comment>
    <comment ref="B22" authorId="2" shapeId="0">
      <text>
        <r>
          <rPr>
            <sz val="9"/>
            <color indexed="81"/>
            <rFont val="Tahoma"/>
            <family val="2"/>
          </rPr>
          <t>WPO art. 188 lid 3:
Van de in het eerste juncto tweede lid bedoelde verplichting kan Onze Minister op aanvraag van het bevoegd gezag ontheffing verlenen op grond van bezwaren van godsdienstige of levensbeschouwelijke aard. Onze Minister verleent de ontheffing slechts indien het bevoegd gezag aantoont dat een afdoende andere voorziening is getroffen met betrekking tot de gevolgen van vervanging bij afwezigheid van personeel. Onze Minister besluit binnen zes maanden na ontvangst van een aanvraag als bedoeld in de eerste volzin.</t>
        </r>
      </text>
    </comment>
    <comment ref="A31" authorId="2" shapeId="0">
      <text>
        <r>
          <rPr>
            <sz val="9"/>
            <color indexed="81"/>
            <rFont val="Tahoma"/>
            <family val="2"/>
          </rPr>
          <t xml:space="preserve">
Eenmalige uitkering in februari  naar rato wtf voor werknemers in dienst in januari 2020 van 875 euro.</t>
        </r>
      </text>
    </comment>
    <comment ref="A32" authorId="2" shapeId="0">
      <text>
        <r>
          <rPr>
            <sz val="9"/>
            <color indexed="81"/>
            <rFont val="Tahoma"/>
            <family val="2"/>
          </rPr>
          <t xml:space="preserve">
Uitkering van 33% van maandsalaris in januari 2020 naar rato aanstellingsduur en wtf in januari 2020.</t>
        </r>
      </text>
    </comment>
    <comment ref="B73" authorId="1" shapeId="0">
      <text>
        <r>
          <rPr>
            <b/>
            <sz val="9"/>
            <color indexed="81"/>
            <rFont val="Tahoma"/>
            <family val="2"/>
          </rPr>
          <t>Kitty Attema:</t>
        </r>
        <r>
          <rPr>
            <sz val="9"/>
            <color indexed="81"/>
            <rFont val="Tahoma"/>
            <family val="2"/>
          </rPr>
          <t xml:space="preserve">
tijdelijke trede
</t>
        </r>
      </text>
    </comment>
    <comment ref="C73" authorId="1" shapeId="0">
      <text>
        <r>
          <rPr>
            <b/>
            <sz val="9"/>
            <color indexed="81"/>
            <rFont val="Tahoma"/>
            <family val="2"/>
          </rPr>
          <t>Kitty Attema:</t>
        </r>
        <r>
          <rPr>
            <sz val="9"/>
            <color indexed="81"/>
            <rFont val="Tahoma"/>
            <family val="2"/>
          </rPr>
          <t xml:space="preserve">
tijdelijke trede
</t>
        </r>
      </text>
    </comment>
    <comment ref="D73" authorId="1" shapeId="0">
      <text>
        <r>
          <rPr>
            <b/>
            <sz val="9"/>
            <color indexed="81"/>
            <rFont val="Tahoma"/>
            <family val="2"/>
          </rPr>
          <t>Kitty Attema:</t>
        </r>
        <r>
          <rPr>
            <sz val="9"/>
            <color indexed="81"/>
            <rFont val="Tahoma"/>
            <family val="2"/>
          </rPr>
          <t xml:space="preserve">
tijdelijke trede
</t>
        </r>
      </text>
    </comment>
    <comment ref="E73" authorId="1" shapeId="0">
      <text>
        <r>
          <rPr>
            <b/>
            <sz val="9"/>
            <color indexed="81"/>
            <rFont val="Tahoma"/>
            <family val="2"/>
          </rPr>
          <t>Kitty Attema:</t>
        </r>
        <r>
          <rPr>
            <sz val="9"/>
            <color indexed="81"/>
            <rFont val="Tahoma"/>
            <family val="2"/>
          </rPr>
          <t xml:space="preserve">
tijdelijke trede
</t>
        </r>
      </text>
    </comment>
    <comment ref="B74" authorId="1" shapeId="0">
      <text>
        <r>
          <rPr>
            <sz val="9"/>
            <color indexed="81"/>
            <rFont val="Tahoma"/>
            <family val="2"/>
          </rPr>
          <t xml:space="preserve">tredes a t/m d hebben een nummerieke benaming in dit model om der werking ervan te faciliteren.
</t>
        </r>
      </text>
    </comment>
    <comment ref="C74" authorId="1" shapeId="0">
      <text>
        <r>
          <rPr>
            <sz val="9"/>
            <color indexed="81"/>
            <rFont val="Tahoma"/>
            <family val="2"/>
          </rPr>
          <t xml:space="preserve">tredes a t/m d hebben een nummerieke benaming in dit model om der werking ervan te faciliteren.
</t>
        </r>
      </text>
    </comment>
    <comment ref="D74" authorId="1" shapeId="0">
      <text>
        <r>
          <rPr>
            <sz val="9"/>
            <color indexed="81"/>
            <rFont val="Tahoma"/>
            <family val="2"/>
          </rPr>
          <t xml:space="preserve">tredes a t/m d hebben een nummerieke benaming in dit model om der werking ervan te faciliteren.
</t>
        </r>
      </text>
    </comment>
    <comment ref="E74" authorId="1" shapeId="0">
      <text>
        <r>
          <rPr>
            <sz val="9"/>
            <color indexed="81"/>
            <rFont val="Tahoma"/>
            <family val="2"/>
          </rPr>
          <t xml:space="preserve">tredes a t/m d hebben een nummerieke benaming in dit model om der werking ervan te faciliteren.
</t>
        </r>
      </text>
    </comment>
    <comment ref="F84" authorId="3" shapeId="0">
      <text>
        <r>
          <rPr>
            <sz val="10"/>
            <rFont val="Arial"/>
            <family val="2"/>
          </rPr>
          <t>[Opmerkingenthread]
U kunt deze opmerkingenthread lezen in uw versie van Excel. Eventuele wijzigingen aan de thread gaan echter verloren als het bestand wordt geopend in een nieuwere versie van Excel. Meer informatie: https://go.microsoft.com/fwlink/?linkid=870924
Opmerking:
    Opgehoogd i.v.m. minimumloon per 1/1/2023</t>
        </r>
      </text>
    </comment>
    <comment ref="F85" authorId="4" shapeId="0">
      <text>
        <r>
          <rPr>
            <sz val="10"/>
            <rFont val="Arial"/>
            <family val="2"/>
          </rPr>
          <t>[Opmerkingenthread]
U kunt deze opmerkingenthread lezen in uw versie van Excel. Eventuele wijzigingen aan de thread gaan echter verloren als het bestand wordt geopend in een nieuwere versie van Excel. Meer informatie: https://go.microsoft.com/fwlink/?linkid=870924
Opmerking:
    Opgehoogd i.v.m. minimumloon per 1/1/2023</t>
        </r>
      </text>
    </comment>
    <comment ref="F86" authorId="5" shapeId="0">
      <text>
        <r>
          <rPr>
            <sz val="10"/>
            <rFont val="Arial"/>
            <family val="2"/>
          </rPr>
          <t>[Opmerkingenthread]
U kunt deze opmerkingenthread lezen in uw versie van Excel. Eventuele wijzigingen aan de thread gaan echter verloren als het bestand wordt geopend in een nieuwere versie van Excel. Meer informatie: https://go.microsoft.com/fwlink/?linkid=870924
Opmerking:
    Opgehoogd i.v.m. minimumloon per 1/1/2023</t>
        </r>
      </text>
    </comment>
    <comment ref="F87" authorId="6" shapeId="0">
      <text>
        <r>
          <rPr>
            <sz val="10"/>
            <rFont val="Arial"/>
            <family val="2"/>
          </rPr>
          <t>[Opmerkingenthread]
U kunt deze opmerkingenthread lezen in uw versie van Excel. Eventuele wijzigingen aan de thread gaan echter verloren als het bestand wordt geopend in een nieuwere versie van Excel. Meer informatie: https://go.microsoft.com/fwlink/?linkid=870924
Opmerking:
    Opgehoogd i.v.m. minimumloon per 1/1/2023</t>
        </r>
      </text>
    </comment>
    <comment ref="F94" authorId="7" shapeId="0">
      <text>
        <r>
          <rPr>
            <sz val="10"/>
            <rFont val="Arial"/>
            <family val="2"/>
          </rPr>
          <t>[Opmerkingenthread]
U kunt deze opmerkingenthread lezen in uw versie van Excel. Eventuele wijzigingen aan de thread gaan echter verloren als het bestand wordt geopend in een nieuwere versie van Excel. Meer informatie: https://go.microsoft.com/fwlink/?linkid=870924
Opmerking:
    Opgehoogd i.v.m. minimumloon per 1/1/2023</t>
        </r>
      </text>
    </comment>
    <comment ref="F95" authorId="8" shapeId="0">
      <text>
        <r>
          <rPr>
            <sz val="10"/>
            <rFont val="Arial"/>
            <family val="2"/>
          </rPr>
          <t>[Opmerkingenthread]
U kunt deze opmerkingenthread lezen in uw versie van Excel. Eventuele wijzigingen aan de thread gaan echter verloren als het bestand wordt geopend in een nieuwere versie van Excel. Meer informatie: https://go.microsoft.com/fwlink/?linkid=870924
Opmerking:
    Opgehoogd i.v.m. minimumloon per 1/1/2023</t>
        </r>
      </text>
    </comment>
    <comment ref="F96" authorId="9" shapeId="0">
      <text>
        <r>
          <rPr>
            <sz val="10"/>
            <rFont val="Arial"/>
            <family val="2"/>
          </rPr>
          <t>[Opmerkingenthread]
U kunt deze opmerkingenthread lezen in uw versie van Excel. Eventuele wijzigingen aan de thread gaan echter verloren als het bestand wordt geopend in een nieuwere versie van Excel. Meer informatie: https://go.microsoft.com/fwlink/?linkid=870924
Opmerking:
    Opgehoogd i.v.m. minimumloon per 1/1/2023</t>
        </r>
      </text>
    </comment>
  </commentList>
</comments>
</file>

<file path=xl/comments4.xml><?xml version="1.0" encoding="utf-8"?>
<comments xmlns="http://schemas.openxmlformats.org/spreadsheetml/2006/main">
  <authors>
    <author>Kitty Attema</author>
  </authors>
  <commentList>
    <comment ref="C27" authorId="0" shapeId="0">
      <text>
        <r>
          <rPr>
            <sz val="9"/>
            <color indexed="81"/>
            <rFont val="Tahoma"/>
            <family val="2"/>
          </rPr>
          <t xml:space="preserve">tredes a t/m d hebben een nummerieke benaming in dit model om der werking ervan te faciliteren.
</t>
        </r>
      </text>
    </comment>
    <comment ref="C28" authorId="0" shapeId="0">
      <text>
        <r>
          <rPr>
            <sz val="9"/>
            <color indexed="81"/>
            <rFont val="Tahoma"/>
            <family val="2"/>
          </rPr>
          <t xml:space="preserve">tredes a t/m d hebben een nummerieke benaming in dit model om der werking ervan te faciliteren.
</t>
        </r>
      </text>
    </comment>
    <comment ref="C29" authorId="0" shapeId="0">
      <text>
        <r>
          <rPr>
            <sz val="9"/>
            <color indexed="81"/>
            <rFont val="Tahoma"/>
            <family val="2"/>
          </rPr>
          <t xml:space="preserve">tredes a t/m d hebben een nummerieke benaming in dit model om der werking ervan te faciliteren.
</t>
        </r>
      </text>
    </comment>
  </commentList>
</comments>
</file>

<file path=xl/sharedStrings.xml><?xml version="1.0" encoding="utf-8"?>
<sst xmlns="http://schemas.openxmlformats.org/spreadsheetml/2006/main" count="737" uniqueCount="371">
  <si>
    <t>salaristabellen</t>
  </si>
  <si>
    <t>LIOa</t>
  </si>
  <si>
    <t>LIOb</t>
  </si>
  <si>
    <t>schaal</t>
  </si>
  <si>
    <t>regel</t>
  </si>
  <si>
    <t>Salarisgegevens</t>
  </si>
  <si>
    <t>norm maandsalaris</t>
  </si>
  <si>
    <t>De werkbladen zijn beveiligd met het wachtwoord:</t>
  </si>
  <si>
    <t>vakantieuitkering</t>
  </si>
  <si>
    <t>OP/NP</t>
  </si>
  <si>
    <t>werkgever</t>
  </si>
  <si>
    <t>werknemer</t>
  </si>
  <si>
    <t>Tabel premiepercentages</t>
  </si>
  <si>
    <t>maand</t>
  </si>
  <si>
    <t>UFO</t>
  </si>
  <si>
    <t>Jaarinkomen ABP</t>
  </si>
  <si>
    <t>per maand</t>
  </si>
  <si>
    <t>per jaar</t>
  </si>
  <si>
    <t>Werknemer</t>
  </si>
  <si>
    <t>Participatiefonds</t>
  </si>
  <si>
    <t>Structurele eindejaarsuitkering</t>
  </si>
  <si>
    <t>eindejaarsuitkering</t>
  </si>
  <si>
    <t>Minimum vakantietoelage, fulltimer</t>
  </si>
  <si>
    <t>ID1</t>
  </si>
  <si>
    <t>ID2</t>
  </si>
  <si>
    <t>ID3</t>
  </si>
  <si>
    <t>ZVW</t>
  </si>
  <si>
    <t>Loon voor de loonbelasting</t>
  </si>
  <si>
    <t>franchise jr</t>
  </si>
  <si>
    <t>franchise mnd</t>
  </si>
  <si>
    <t>NB: Uitsluitend gebruik gemaakt van onderstaande tabellen</t>
  </si>
  <si>
    <t>Schijf</t>
  </si>
  <si>
    <t>algemene heffingskorting</t>
  </si>
  <si>
    <t>arbeidskorting</t>
  </si>
  <si>
    <t>eindejaarsuitkering OOP</t>
  </si>
  <si>
    <t>Eindejaarsuitkering OOP</t>
  </si>
  <si>
    <t>AOP</t>
  </si>
  <si>
    <t>bij een normbetrekking, per maand</t>
  </si>
  <si>
    <t>schooljaar</t>
  </si>
  <si>
    <t>Geboortedatum</t>
  </si>
  <si>
    <t>(1)</t>
  </si>
  <si>
    <t>(2)</t>
  </si>
  <si>
    <t>(3)</t>
  </si>
  <si>
    <t>(4)</t>
  </si>
  <si>
    <t>ZVW premie werkgever</t>
  </si>
  <si>
    <t>FPU (VUT/FPU basis)</t>
  </si>
  <si>
    <t>ERD WD14</t>
  </si>
  <si>
    <t>ERD WD42</t>
  </si>
  <si>
    <t>ERD SL80</t>
  </si>
  <si>
    <t>ERD SL100</t>
  </si>
  <si>
    <t>Volledig ERD</t>
  </si>
  <si>
    <t>Bijdrage-inkomen</t>
  </si>
  <si>
    <t>ZVW premie</t>
  </si>
  <si>
    <t>idem</t>
  </si>
  <si>
    <t>meer info</t>
  </si>
  <si>
    <t>BRUTO-NETTO TRAJECT WERKNEMER (indicatief)</t>
  </si>
  <si>
    <t>BASISGEGEVENS</t>
  </si>
  <si>
    <t>uitlooptoeslag leraar</t>
  </si>
  <si>
    <t>Eenmalige nominale uitkering wn</t>
  </si>
  <si>
    <t>premie Participatiefonds (Pf)</t>
  </si>
  <si>
    <t>datumnu</t>
  </si>
  <si>
    <t>Premies pensioen- en werknemersverzekeringen</t>
  </si>
  <si>
    <t>A. SALARIS</t>
  </si>
  <si>
    <t>C. WERKGEVERSLASTEN</t>
  </si>
  <si>
    <t>Pensioenpremies werknemer</t>
  </si>
  <si>
    <t>minus: Pensioenpremies werknemer</t>
  </si>
  <si>
    <t>bijdrage -inkomen</t>
  </si>
  <si>
    <t>(5)</t>
  </si>
  <si>
    <t>(6)</t>
  </si>
  <si>
    <t>(7)</t>
  </si>
  <si>
    <t xml:space="preserve">overige toelagen </t>
  </si>
  <si>
    <t>tegemoetkoming reiskosten</t>
  </si>
  <si>
    <t xml:space="preserve">kosten vervanging verlof </t>
  </si>
  <si>
    <t>overig eigen beleid</t>
  </si>
  <si>
    <t xml:space="preserve">D. EIGEN BELEID </t>
  </si>
  <si>
    <t>premie Vervangingsfonds (Vf)</t>
  </si>
  <si>
    <t>Kalenderjaar</t>
  </si>
  <si>
    <t>Belastingen 2019</t>
  </si>
  <si>
    <t>Tarieven, bedragen en percentages vanaf 1 januari 2019</t>
  </si>
  <si>
    <t>A10</t>
  </si>
  <si>
    <t>A11</t>
  </si>
  <si>
    <t>A12</t>
  </si>
  <si>
    <t>A13</t>
  </si>
  <si>
    <t>Participatiebaan</t>
  </si>
  <si>
    <t>Uitkering wn maandloon januari</t>
  </si>
  <si>
    <t>D11</t>
  </si>
  <si>
    <t>D12</t>
  </si>
  <si>
    <t>D13</t>
  </si>
  <si>
    <t>D14</t>
  </si>
  <si>
    <t>D15</t>
  </si>
  <si>
    <t>nee</t>
  </si>
  <si>
    <t>Whk: WGA vast en ZW-flex</t>
  </si>
  <si>
    <t>WAO/WIA (incl. Whk)</t>
  </si>
  <si>
    <t xml:space="preserve">betaald ouderschapsverlof </t>
  </si>
  <si>
    <t>%</t>
  </si>
  <si>
    <t>Salarisdoorbetaling</t>
  </si>
  <si>
    <t>Werktijd</t>
  </si>
  <si>
    <t>Pensioenopbouw</t>
  </si>
  <si>
    <t>Keuze generatiepact</t>
  </si>
  <si>
    <t>ja</t>
  </si>
  <si>
    <t>Algemeen</t>
  </si>
  <si>
    <t>Overige looncomponenten</t>
  </si>
  <si>
    <t>Huidige werktijdfactor</t>
  </si>
  <si>
    <t>werktijdfactor</t>
  </si>
  <si>
    <t>totaal salaris en overige looncomponenten</t>
  </si>
  <si>
    <t>Belastbaar inkomen</t>
  </si>
  <si>
    <t>Percentage</t>
  </si>
  <si>
    <t>Schijventarief &lt; AOW-leeftijd</t>
  </si>
  <si>
    <t>AOW-leeftijd</t>
  </si>
  <si>
    <t>Bedrag</t>
  </si>
  <si>
    <t>Netto-inkomen</t>
  </si>
  <si>
    <t>Loonbelasting</t>
  </si>
  <si>
    <t>€ 0</t>
  </si>
  <si>
    <t>Schijventarief &gt;= AOW-leeftijd</t>
  </si>
  <si>
    <t>Algemene heffingskorting&lt; AOW-leeftijd</t>
  </si>
  <si>
    <t>schijventarief</t>
  </si>
  <si>
    <t>loon voor de loonbelasting</t>
  </si>
  <si>
    <t>Algemene heffingskorting *</t>
  </si>
  <si>
    <t>Algemene heffingskorting&gt;= AOW-leeftijd</t>
  </si>
  <si>
    <t>Arbeidskorting</t>
  </si>
  <si>
    <t>Arbeidsinkomen</t>
  </si>
  <si>
    <t>Werktijdfactor</t>
  </si>
  <si>
    <t>Percentage salarisdoorbetaling</t>
  </si>
  <si>
    <t>GeneratiePact</t>
  </si>
  <si>
    <t>Huidig</t>
  </si>
  <si>
    <t>Generatiepact</t>
  </si>
  <si>
    <t>2. Maak als werknemer met je werkgever afspraken over de aanpassing van de taakinvulling bij (tijdelijke) reductie van de arbeidsduur. Bespreek daarbij de mogelijkheden voor aanpassingen die passen bij je loopbaan- en levensfase, bijvoorbeeld: extra inzet voor coaching/ begeleiding van startende collega's.</t>
  </si>
  <si>
    <t>Vooraf</t>
  </si>
  <si>
    <t>Stap 2: GEGEVENS VERVANGER</t>
  </si>
  <si>
    <t>Stap 1:</t>
  </si>
  <si>
    <t xml:space="preserve">Stap 2: </t>
  </si>
  <si>
    <t xml:space="preserve">Stap 3: </t>
  </si>
  <si>
    <t>Hier worden de gegevens van de werkgever ingevoerd. Dit betreft de aansluiting bij het Vervangingsfonds en/of de kosten van het eigen risicodragerschap</t>
  </si>
  <si>
    <t>Per maand</t>
  </si>
  <si>
    <t>Per jaar</t>
  </si>
  <si>
    <t>Regel werknemer</t>
  </si>
  <si>
    <t>Regel vervanger</t>
  </si>
  <si>
    <t xml:space="preserve">,  </t>
  </si>
  <si>
    <t>WERKNEMER</t>
  </si>
  <si>
    <t>VERVANGER</t>
  </si>
  <si>
    <t>E. TOTALE LOONKOSTEN</t>
  </si>
  <si>
    <t>Totaal loonkosten</t>
  </si>
  <si>
    <t>Bruto-salaris (norm salaris X werktijdfactor)</t>
  </si>
  <si>
    <t>Salaris en overige looncomponenten</t>
  </si>
  <si>
    <t xml:space="preserve">Kosten eigen beleid </t>
  </si>
  <si>
    <t>B. PENSIOENPREMIES WERKNEMER</t>
  </si>
  <si>
    <t>F. NETTO-INKOMEN</t>
  </si>
  <si>
    <t>Stap 1: GEGEVENS WERKNEMER</t>
  </si>
  <si>
    <t>AAN DE SLAG MET DE REKENTOOL GENERATIEPACT</t>
  </si>
  <si>
    <t xml:space="preserve">   - (tijdelijke) beperking van de werktijd van een werknemer;</t>
  </si>
  <si>
    <t xml:space="preserve">   - het creëren van formatieruimte voor werknemers van een andere generatie (vervanger).</t>
  </si>
  <si>
    <t>TECHNISCHE TOELICHTING</t>
  </si>
  <si>
    <t>Invoer Gegevens</t>
  </si>
  <si>
    <t xml:space="preserve">Via het tabblad </t>
  </si>
  <si>
    <t xml:space="preserve">Startpagina </t>
  </si>
  <si>
    <t xml:space="preserve">kan genavigeerd worden naar het tabblad </t>
  </si>
  <si>
    <t>Invoer gegevens werknemer</t>
  </si>
  <si>
    <t>De gegevens van de werknemer die gebruik wil maken van het generatiepact worden hier ingevuld. Dit betreft:</t>
  </si>
  <si>
    <t>Invoer gegevens vervanger</t>
  </si>
  <si>
    <t>Invoer gegevens werkgever</t>
  </si>
  <si>
    <t>Invoer gegevens</t>
  </si>
  <si>
    <t>Uitkomsten</t>
  </si>
  <si>
    <t>Loonkosten</t>
  </si>
  <si>
    <t>Loonkosten:</t>
  </si>
  <si>
    <t>De uitkomsten van de berekeningen zijn te vinden op de tabbladen:</t>
  </si>
  <si>
    <t>Inkomensgevolgen</t>
  </si>
  <si>
    <t>Inkomensgevolgen:</t>
  </si>
  <si>
    <t>Totaal werkgeverslasten (C.+ D.)</t>
  </si>
  <si>
    <t>Toename/ afname loonkosten</t>
  </si>
  <si>
    <t>TOTAAL</t>
  </si>
  <si>
    <t>Salariskorting (%-punten)</t>
  </si>
  <si>
    <t>Zie toelichting:</t>
  </si>
  <si>
    <t>1 = premie verplichte verzekering (6,05%)</t>
  </si>
  <si>
    <t>2 = premie vrijwillige verzekering (6,05%)</t>
  </si>
  <si>
    <t>3 = eigenrisicodrager (0,05%)</t>
  </si>
  <si>
    <t>4 = geen aansluiting (0%)</t>
  </si>
  <si>
    <t>5 = ERD WD14 (3,55%)</t>
  </si>
  <si>
    <t>6 = ERD WD42 (2,95%)</t>
  </si>
  <si>
    <t>7 = ERD SL80 (0,55%)</t>
  </si>
  <si>
    <t>8 = ERD SL100 (0,25%)</t>
  </si>
  <si>
    <t>F. KOSTEN/ OPBRENGSTEN GENERATIEPACT</t>
  </si>
  <si>
    <t>WERKGEVERSLASTEN PO</t>
  </si>
  <si>
    <t>INDICATIE INKOMENSGEVOLGEN PO</t>
  </si>
  <si>
    <t xml:space="preserve"> Detailberekeningen:</t>
  </si>
  <si>
    <t>Loonkosten uitgebreid en Inkomensgevolgen uitgebreid</t>
  </si>
  <si>
    <t>Toelichting</t>
  </si>
  <si>
    <t>+</t>
  </si>
  <si>
    <t>=</t>
  </si>
  <si>
    <t>INDICATIE INKOMENSGEVOLGEN</t>
  </si>
  <si>
    <t>TOENAME/ AFNAME</t>
  </si>
  <si>
    <t>p.m. hyperlink</t>
  </si>
  <si>
    <t>Vul bij stap 2 de salarisgegevens in van de vervanger. Bij de gegevens van de vervanger gaat het in principe alleen om de wijziging van de betrekkingsomvang. Het is echter ook mogelijk om andere gegevens aan te passen.</t>
  </si>
  <si>
    <t>Jaar</t>
  </si>
  <si>
    <t>Maand</t>
  </si>
  <si>
    <t>Totaal</t>
  </si>
  <si>
    <t>Jaardeel startjaar</t>
  </si>
  <si>
    <t>Jaardeel eindjaar</t>
  </si>
  <si>
    <t>Kosten ziekte, vervanging en werkloosheid</t>
  </si>
  <si>
    <t>mei</t>
  </si>
  <si>
    <t>januari</t>
  </si>
  <si>
    <t>februari</t>
  </si>
  <si>
    <t>maart</t>
  </si>
  <si>
    <t>april</t>
  </si>
  <si>
    <t>juni</t>
  </si>
  <si>
    <t>juli</t>
  </si>
  <si>
    <t>augustus</t>
  </si>
  <si>
    <t>september</t>
  </si>
  <si>
    <t>oktober</t>
  </si>
  <si>
    <t>november</t>
  </si>
  <si>
    <t>december</t>
  </si>
  <si>
    <t>-</t>
  </si>
  <si>
    <t>Naam werknemer</t>
  </si>
  <si>
    <t>Geboortedaum werknemer</t>
  </si>
  <si>
    <t>Startdatum generatiepact (jaar, maand)</t>
  </si>
  <si>
    <t>Einddatum generatiepact (jaar, maand)</t>
  </si>
  <si>
    <t xml:space="preserve">- </t>
  </si>
  <si>
    <t>Percentage pensioenopbouw tijdens het generatiepact.</t>
  </si>
  <si>
    <t>Overige beloningscomponenten  (huidig en tijdens generatiepact)</t>
  </si>
  <si>
    <t>Eigen (belonings)beleid werkgever (idem)</t>
  </si>
  <si>
    <t>G. INVERDIENEFFECTEN</t>
  </si>
  <si>
    <t>Ziekteverzuim</t>
  </si>
  <si>
    <t>F. NETTO-KOSTEN/ OPBRENGSTEN GENERATIEPACT</t>
  </si>
  <si>
    <t>Toename/ afname</t>
  </si>
  <si>
    <t>kosten vervanging eigen beleid</t>
  </si>
  <si>
    <t>KOSTEN GENERATIEPACT</t>
  </si>
  <si>
    <t>ongewijzigd.</t>
  </si>
  <si>
    <t>Betreft personen geboren</t>
  </si>
  <si>
    <t>na 31 augustus 1953 en voor 1 september 1954</t>
  </si>
  <si>
    <t>na 31 augustus 1954 en voor 1 september 1955</t>
  </si>
  <si>
    <t>na 31 augustus 1955 en voor 1 juni 1956</t>
  </si>
  <si>
    <t>na 31 mei 1956 en voor 1 maart 1957</t>
  </si>
  <si>
    <t>67 jaar</t>
  </si>
  <si>
    <t>na 28 februari 1957 en voor 1 januari 1958</t>
  </si>
  <si>
    <t>na 31 december 1957 en voor 1 januari 1959</t>
  </si>
  <si>
    <t>na 31 december 1958 en voor 1 januari 1960</t>
  </si>
  <si>
    <t>Geboren vanaf</t>
  </si>
  <si>
    <t>AOW-datum</t>
  </si>
  <si>
    <t>66 jaar + 4 maanden</t>
  </si>
  <si>
    <t>66 jaar + 7 maanden</t>
  </si>
  <si>
    <t>66 jaar + 10 maanden</t>
  </si>
  <si>
    <t>Ziekteverzuimpercentage</t>
  </si>
  <si>
    <t xml:space="preserve">Vul bij stap 1 de gegevens van de werknemer in.  </t>
  </si>
  <si>
    <t>Algemene gegevens</t>
  </si>
  <si>
    <t>Gemiddeld per jaar</t>
  </si>
  <si>
    <t>Gemiddeld per maand</t>
  </si>
  <si>
    <t>Toename(+)/Afname (-)</t>
  </si>
  <si>
    <t>Werkgeverslasten</t>
  </si>
  <si>
    <t>InverdieneffectZiekteverzuim</t>
  </si>
  <si>
    <t>Totaalbedragen voor de duur van het generatiepact</t>
  </si>
  <si>
    <t>Stap 3: INVERDIENEFFECTEN</t>
  </si>
  <si>
    <t>Salaris (incl. overige looncomponenten)</t>
  </si>
  <si>
    <t>Bruto-salaris (incl. overige looncomponenten)</t>
  </si>
  <si>
    <t>Mutatie netto-inkomen</t>
  </si>
  <si>
    <t>Naam</t>
  </si>
  <si>
    <t>Onderliggende doelstelling is dat de afspraken bijdragen aan de duurzame inzetbaarheid van zowel de werknemer als zijn vervanger.</t>
  </si>
  <si>
    <t>generatiepact. Advies is om deze vast te leggen in een, in overleg met de (gemeenschappelijke) medezeggenschapsraad op te stellen reglement.</t>
  </si>
  <si>
    <t xml:space="preserve">Met deze rekentool kunnen de gevolgen van een dergelijke afspraak van het generatiepact worden doorgerekend en een indicatie worden gegeven van de gevolgen voor het (netto-)inkomen van de werknemer. </t>
  </si>
  <si>
    <t>Vul in de linkerkolom de huidige salarisgegevens in en in de rechterkolom de gegevens bij gebruikmaking van het generatiepact. Bij het generatiepact wordt hier, naast de gewijzigde betrekkingsomvang, de korting op het salaris en de voortzetting van de pensioenopbouw ingevuld.</t>
  </si>
  <si>
    <t>Salarisnummer  (huidig en bij start generatiepact)</t>
  </si>
  <si>
    <t>Percentage salariskorting tijdens Generatiepact</t>
  </si>
  <si>
    <t xml:space="preserve">Schoolbesturen (werkgevers) stellen voorwaarden ten aanzien van het (maximale) aantal uren werktijdvermindering per week, de salarisdoorbetaling en de pensioenopbouw gedurende het generatiepact. </t>
  </si>
  <si>
    <t xml:space="preserve">1. Voer als werkgever en werknemer vooraf overleg over de mogelijkheden voor deelname aan het generatiepact. Als de werkgever een generatiepact aanbiedt, is hierover in overleg met de (G)MR een reglement opgesteld dat wordt toegepast bij het maken van afspraken. </t>
  </si>
  <si>
    <t xml:space="preserve">3. Maak, indien nodig, als werkgever ook afspraken met de collega die de werknemer tijdens het generatiepact vervangt. Ook met deze vervanger kunnen afspraken worden gemaakt over de invulling van de (tijdelijke) uitbreiding van de arbeidsduur, bijvoorbeeld voor extra coaching of begeleiding. </t>
  </si>
  <si>
    <t>Meer weten? Ga naar de handreiking:</t>
  </si>
  <si>
    <t>Schaal</t>
  </si>
  <si>
    <t>Regel</t>
  </si>
  <si>
    <t>Norm maandsalaris</t>
  </si>
  <si>
    <t>Voortzetting pensioenopbouw</t>
  </si>
  <si>
    <t>Uitlooptoeslag leraar</t>
  </si>
  <si>
    <t>Start generatiepact</t>
  </si>
  <si>
    <t>Einde generatiepact</t>
  </si>
  <si>
    <t>Ziekteverzuimpercentage werknemer</t>
  </si>
  <si>
    <t>Vul allereerst de algemene gegevens in, zoals: naam, geboortedatum en start en einddatum van het generatiepact. Bij de einddatum kan rekening worden gehouden met de AOW-leeftijd van de werknemer.</t>
  </si>
  <si>
    <t>Norm maandsalaris per maand</t>
  </si>
  <si>
    <t>Alleen de witte velden kunnen worden gewijzigd. Daar kunnen verschillende variabelen voor de berekeningen worden gekozen c.q. ingevoerd.</t>
  </si>
  <si>
    <t xml:space="preserve">Voor de berekingen van het generatiepact moeten hier drie stappen worden doorlopen. </t>
  </si>
  <si>
    <t>Salarisschaal (huidig en bij start generatiepact)</t>
  </si>
  <si>
    <t>Werktijdfactor (huidig en tijdens generatiepact)</t>
  </si>
  <si>
    <t>Eigen (belonings)beleid werkgever (huidig en tijdens generatiepact)</t>
  </si>
  <si>
    <t>Hier worden gegevens van de eventuele vervanger ingevuld. Dit betreft:</t>
  </si>
  <si>
    <t>Salarisnummer (huidig en bij start generatiepact)</t>
  </si>
  <si>
    <t>NB: Veronderstelling is ook hier dat dit niet wijzigt tijdens het generatiepact.</t>
  </si>
  <si>
    <t xml:space="preserve">Op dit tabblad worden de uitkomsten van de loonkostenberekening voor de werknemer en de vervanger gepresenteerd, in de huidige situatie en bij deelname aan het generatiepact. </t>
  </si>
  <si>
    <t>en</t>
  </si>
  <si>
    <t xml:space="preserve">De handreiking Generatiepact is een servicedocument van het Arbeidsmarktplatform PO voor werkgevers en werknemers in het primair onderwijs die ondelinge afspraken willen maken over een generatiepact. Deze rekentool is een tool om werknemers en werkgevers te ondersteunen bij het inzichtelijk maken van de financiële gevolgen. Binnen een generatiepact kunnen afspraken worden gemaakt over een:  </t>
  </si>
  <si>
    <t xml:space="preserve">Mogelijk inverdieneffect van het generatiepact is een reductie van het ziekteverzuim van de werknemer. Bij stap 3 kunnen het huidige en het  (verwachte) ziekteverzuimpercentage bij deelname aan het generatiepact worden ingevuld. </t>
  </si>
  <si>
    <t>Overige beloningscomponenten (NB: veronderstelling is hier dat dit niet wijzigt tijdens het generatiepact.</t>
  </si>
  <si>
    <t>NB: indien geen vervanging plaatsvindt, zet beide werktijdfactoren op 0.0000</t>
  </si>
  <si>
    <t>Op dit tabblad wordt een indicatie van de inkomensgevolgen voor de werknemer en de vervanger gepresenteerd. LET OP: Dit is een INDICATIE, waarin geen rekening wordt gehouden met specifieke omstandigheden van de werknemer of vervanger die invloed hebben op de belastingheffing (hypotheekrenteaftrek, specifieke heffingskortingen e.d.)</t>
  </si>
  <si>
    <t xml:space="preserve">Detailberekeningen zijn te vinden op de tabbladen: </t>
  </si>
  <si>
    <t>Deze tabbladen kunnen zichtbaar gemaakt worden via: Opmaak - Weergeven en verbergen - Blad zichtbaar maken…..</t>
  </si>
  <si>
    <t>N.B.: Voor een uitgebreide onderbouwing van de loonkosten, zie 'Loonkosten uitgebreid' op tablad Technische toelichting</t>
  </si>
  <si>
    <t>N.B.: Voor een uitgebreide onderbouwing van de loonkosten zie 'Inkomensgevolgen uitgebreid' op tabblad Technische toelichting.</t>
  </si>
  <si>
    <t>TABELLEN</t>
  </si>
  <si>
    <t>2022/2023</t>
  </si>
  <si>
    <t>max. bijdrageloon</t>
  </si>
  <si>
    <t>WAO/WIA-basispremie (Aof, incl. Wko)</t>
  </si>
  <si>
    <t>Ufo-premie</t>
  </si>
  <si>
    <t>Volledig aangesloten</t>
  </si>
  <si>
    <t>Vf ontheffing</t>
  </si>
  <si>
    <t>totaal ex Vf</t>
  </si>
  <si>
    <t>Uitlooptoeslag OP</t>
  </si>
  <si>
    <t>LB</t>
  </si>
  <si>
    <t>LC</t>
  </si>
  <si>
    <t>LD</t>
  </si>
  <si>
    <t>LE</t>
  </si>
  <si>
    <t>Vakantieuitkering</t>
  </si>
  <si>
    <t>Arbeidsmarkttoelage directeuren</t>
  </si>
  <si>
    <t>Bindingstoelage</t>
  </si>
  <si>
    <t>A1013</t>
  </si>
  <si>
    <t>A1116</t>
  </si>
  <si>
    <t>A1212</t>
  </si>
  <si>
    <t>A1313</t>
  </si>
  <si>
    <t>D1116</t>
  </si>
  <si>
    <t>D1212</t>
  </si>
  <si>
    <t>D1313</t>
  </si>
  <si>
    <t>D1411</t>
  </si>
  <si>
    <t>D1512</t>
  </si>
  <si>
    <t>LB12</t>
  </si>
  <si>
    <t>LC12</t>
  </si>
  <si>
    <t>LD12</t>
  </si>
  <si>
    <t>LE12</t>
  </si>
  <si>
    <t>1-7-2022 (cao 2022-2023)</t>
  </si>
  <si>
    <t>a</t>
  </si>
  <si>
    <t>b</t>
  </si>
  <si>
    <t>c</t>
  </si>
  <si>
    <t>d</t>
  </si>
  <si>
    <t>schaal / trede</t>
  </si>
  <si>
    <t>tredes</t>
  </si>
  <si>
    <t>FC</t>
  </si>
  <si>
    <t>DIR</t>
  </si>
  <si>
    <t>OOP</t>
  </si>
  <si>
    <t>OP</t>
  </si>
  <si>
    <t>arbeidsmarkttoelage (adj.)directeuren</t>
  </si>
  <si>
    <t>bindingstoelage</t>
  </si>
  <si>
    <t>Totaal werkgeverslasten</t>
  </si>
  <si>
    <t>n.v.t.</t>
  </si>
  <si>
    <t xml:space="preserve">Voor de premies, tarieven en rekenregels is gebruikgemaakt van de meest actuele tool Werkgeverslasten Primair Onderwijs van de PO-Raad. </t>
  </si>
  <si>
    <t>Deze versie gebruikt de data uit:</t>
  </si>
  <si>
    <t>huidig</t>
  </si>
  <si>
    <t>gen</t>
  </si>
  <si>
    <t xml:space="preserve"> </t>
  </si>
  <si>
    <t>X</t>
  </si>
  <si>
    <t>Y</t>
  </si>
  <si>
    <t xml:space="preserve">vanaf 1 januari </t>
  </si>
  <si>
    <t>nog invullen</t>
  </si>
  <si>
    <t>links nog actualiseren</t>
  </si>
  <si>
    <t>https://www.abp.nl/images/Premietabel%202023.pdf</t>
  </si>
  <si>
    <t>Inkoop voorwaardelijk pensioen (IVP/VPL)</t>
  </si>
  <si>
    <t>Vanaf 2022 gedifferentieerd. Kleine werkgevers betalen 5,46% (tot 25 maal de gemiddelde premieplichtige loonsom)</t>
  </si>
  <si>
    <t>https://www.uwv.nl/overuwv/Images/uwv-gedifferentieerde-premies-wga-en-ziektewet-2023.pdf</t>
  </si>
  <si>
    <t>https://www.vfpf.nl/actueel/premiepercentages-vf-en-pf-voor-2023-zijn-bekend</t>
  </si>
  <si>
    <t>tot € 22.661</t>
  </si>
  <si>
    <t>vanaf € 22.661 tot € 73.031</t>
  </si>
  <si>
    <t>vanaf €73.031</t>
  </si>
  <si>
    <t>vanaf €  22.661 tot € 73.031</t>
  </si>
  <si>
    <t>vanaf € 73.031</t>
  </si>
  <si>
    <t>tot € 10.741</t>
  </si>
  <si>
    <t>8,231%  x arbeidsinkomen</t>
  </si>
  <si>
    <t>vanaf € 10.741 tot € 23.201</t>
  </si>
  <si>
    <t>€ 884 + 29,861% x (arbeidsinkomen - € 10.740)</t>
  </si>
  <si>
    <t>vanaf € 23.201 tot € 37.691</t>
  </si>
  <si>
    <t>€ 4.605 + 3,085% x (arbeidsinkomen - €23.200)</t>
  </si>
  <si>
    <t>vanaf € 37.691 tot € 115.295</t>
  </si>
  <si>
    <t>€ 5.502 - 6,510% x (arbeidsinkomen - € 37.690)</t>
  </si>
  <si>
    <t>vanaf € 115.295</t>
  </si>
  <si>
    <t>HULPTABELLEN</t>
  </si>
  <si>
    <t>TABELLEN LOONBELASTING</t>
  </si>
  <si>
    <t>Werkgeverlasten PO 2023</t>
  </si>
  <si>
    <t>Bron</t>
  </si>
  <si>
    <t xml:space="preserve">https://www.belastingdienst.nl/wps/wcm/connect/bldcontentnl/belastingdienst/prive/inkomstenbelasting/heffingskortingen_boxen_tarieven/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</si>
</sst>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2" formatCode="_ &quot;€&quot;\ * #,##0_ ;_ &quot;€&quot;\ * \-#,##0_ ;_ &quot;€&quot;\ * &quot;-&quot;_ ;_ @_ "/>
    <numFmt numFmtId="44" formatCode="_ &quot;€&quot;\ * #,##0.00_ ;_ &quot;€&quot;\ * \-#,##0.00_ ;_ &quot;€&quot;\ * &quot;-&quot;??_ ;_ @_ "/>
    <numFmt numFmtId="43" formatCode="_ * #,##0.00_ ;_ * \-#,##0.00_ ;_ * &quot;-&quot;??_ ;_ @_ "/>
    <numFmt numFmtId="164" formatCode="_-&quot;fl&quot;\ * #,##0.00_-;_-&quot;fl&quot;\ * #,##0.00\-;_-&quot;fl&quot;\ * &quot;-&quot;??_-;_-@_-"/>
    <numFmt numFmtId="165" formatCode="0.0000"/>
    <numFmt numFmtId="166" formatCode="0.000%"/>
    <numFmt numFmtId="167" formatCode="0.0%"/>
    <numFmt numFmtId="168" formatCode="_-&quot;€&quot;\ * #,##0_-;_-&quot;€&quot;\ * #,##0\-;_-&quot;€&quot;\ * &quot;-&quot;??_-;_-@_-"/>
    <numFmt numFmtId="169" formatCode="d\ mmmm\ yyyy"/>
    <numFmt numFmtId="170" formatCode="_ &quot;€&quot;\ * #,##0_ ;_ &quot;€&quot;\ * \-#,##0_ ;_ &quot;€&quot;\ * &quot;-&quot;??_ ;_ @_ "/>
    <numFmt numFmtId="171" formatCode="#,##0.00_ ;\-#,##0.00\ "/>
    <numFmt numFmtId="172" formatCode="_ [$€-413]\ * #,##0.0_ ;_ [$€-413]\ * \-#,##0.0_ ;_ [$€-413]\ * &quot;-&quot;??_ ;_ @_ "/>
    <numFmt numFmtId="173" formatCode="_ [$€-413]\ * #,##0_ ;_ [$€-413]\ * \-#,##0_ ;_ [$€-413]\ * &quot;-&quot;??_ ;_ @_ "/>
    <numFmt numFmtId="174" formatCode="[$-413]d/mmm/yy;@"/>
    <numFmt numFmtId="175" formatCode="_ * #,##0.0000_ ;_ * \-#,##0.0000_ ;_ * &quot;-&quot;??_ ;_ @_ "/>
    <numFmt numFmtId="176" formatCode="_ * #,##0_ ;_ * \-#,##0_ ;_ * &quot;-&quot;??_ ;_ @_ "/>
    <numFmt numFmtId="177" formatCode="0_ ;\-0\ "/>
    <numFmt numFmtId="178" formatCode="\(0.0%\)"/>
    <numFmt numFmtId="179" formatCode="&quot;€&quot;\ #,##0.00"/>
    <numFmt numFmtId="180" formatCode="_ [$€-413]\ * #,##0.00_ ;_ [$€-413]\ * \-#,##0.00_ ;_ [$€-413]\ * &quot;-&quot;??_ ;_ @_ "/>
  </numFmts>
  <fonts count="125" x14ac:knownFonts="1">
    <font>
      <sz val="10"/>
      <name val="Arial"/>
    </font>
    <font>
      <sz val="11"/>
      <color theme="1"/>
      <name val="Calibri"/>
      <family val="2"/>
      <scheme val="minor"/>
    </font>
    <font>
      <sz val="10"/>
      <name val="Arial"/>
      <family val="2"/>
    </font>
    <font>
      <u/>
      <sz val="10"/>
      <color indexed="12"/>
      <name val="Arial"/>
      <family val="2"/>
    </font>
    <font>
      <sz val="9"/>
      <color indexed="81"/>
      <name val="Tahoma"/>
      <family val="2"/>
    </font>
    <font>
      <sz val="8"/>
      <color indexed="81"/>
      <name val="Tahoma"/>
      <family val="2"/>
    </font>
    <font>
      <sz val="11"/>
      <name val="Calibri"/>
      <family val="2"/>
    </font>
    <font>
      <sz val="10"/>
      <name val="Calibri"/>
      <family val="2"/>
    </font>
    <font>
      <b/>
      <sz val="10"/>
      <name val="Calibri"/>
      <family val="2"/>
    </font>
    <font>
      <b/>
      <sz val="11"/>
      <name val="Calibri"/>
      <family val="2"/>
    </font>
    <font>
      <i/>
      <sz val="10"/>
      <name val="Calibri"/>
      <family val="2"/>
    </font>
    <font>
      <sz val="10"/>
      <name val="Calibri"/>
      <family val="2"/>
      <scheme val="minor"/>
    </font>
    <font>
      <sz val="11"/>
      <color theme="0" tint="-0.249977111117893"/>
      <name val="Calibri"/>
      <family val="2"/>
    </font>
    <font>
      <sz val="10"/>
      <color rgb="FFFF0000"/>
      <name val="Calibri"/>
      <family val="2"/>
    </font>
    <font>
      <b/>
      <sz val="9"/>
      <name val="Calibri"/>
      <family val="2"/>
    </font>
    <font>
      <sz val="9"/>
      <name val="Calibri"/>
      <family val="2"/>
    </font>
    <font>
      <sz val="9"/>
      <color indexed="10"/>
      <name val="Calibri"/>
      <family val="2"/>
      <scheme val="minor"/>
    </font>
    <font>
      <sz val="9"/>
      <name val="Calibri"/>
      <family val="2"/>
      <scheme val="minor"/>
    </font>
    <font>
      <sz val="9"/>
      <color indexed="8"/>
      <name val="Calibri"/>
      <family val="2"/>
      <scheme val="minor"/>
    </font>
    <font>
      <b/>
      <sz val="9"/>
      <color indexed="81"/>
      <name val="Tahoma"/>
      <family val="2"/>
    </font>
    <font>
      <i/>
      <sz val="11"/>
      <name val="Calibri"/>
      <family val="2"/>
    </font>
    <font>
      <b/>
      <sz val="9"/>
      <name val="Calibri"/>
      <family val="2"/>
      <scheme val="minor"/>
    </font>
    <font>
      <i/>
      <sz val="9"/>
      <name val="Calibri"/>
      <family val="2"/>
      <scheme val="minor"/>
    </font>
    <font>
      <b/>
      <i/>
      <sz val="9"/>
      <name val="Calibri"/>
      <family val="2"/>
      <scheme val="minor"/>
    </font>
    <font>
      <u/>
      <sz val="9"/>
      <color indexed="12"/>
      <name val="Arial"/>
      <family val="2"/>
    </font>
    <font>
      <u/>
      <sz val="9"/>
      <color indexed="12"/>
      <name val="Calibri"/>
      <family val="2"/>
      <scheme val="minor"/>
    </font>
    <font>
      <sz val="9"/>
      <color indexed="55"/>
      <name val="Calibri"/>
      <family val="2"/>
      <scheme val="minor"/>
    </font>
    <font>
      <sz val="9"/>
      <name val="Arial"/>
      <family val="2"/>
    </font>
    <font>
      <b/>
      <sz val="9"/>
      <color rgb="FFFF0000"/>
      <name val="Calibri"/>
      <family val="2"/>
      <scheme val="minor"/>
    </font>
    <font>
      <b/>
      <sz val="9"/>
      <color indexed="10"/>
      <name val="Calibri"/>
      <family val="2"/>
      <scheme val="minor"/>
    </font>
    <font>
      <sz val="9"/>
      <color rgb="FFFF0000"/>
      <name val="Calibri"/>
      <family val="2"/>
      <scheme val="minor"/>
    </font>
    <font>
      <sz val="11"/>
      <color theme="0" tint="-4.9989318521683403E-2"/>
      <name val="Calibri"/>
      <family val="2"/>
    </font>
    <font>
      <sz val="10"/>
      <name val="Arial"/>
      <family val="2"/>
    </font>
    <font>
      <sz val="11"/>
      <name val="Calibri"/>
      <family val="2"/>
      <scheme val="minor"/>
    </font>
    <font>
      <i/>
      <sz val="11"/>
      <name val="Calibri"/>
      <family val="2"/>
      <scheme val="minor"/>
    </font>
    <font>
      <b/>
      <sz val="11"/>
      <color theme="8"/>
      <name val="Calibri"/>
      <family val="2"/>
      <scheme val="minor"/>
    </font>
    <font>
      <sz val="11"/>
      <color theme="8"/>
      <name val="Calibri"/>
      <family val="2"/>
      <scheme val="minor"/>
    </font>
    <font>
      <b/>
      <sz val="11"/>
      <name val="Calibri"/>
      <family val="2"/>
      <scheme val="minor"/>
    </font>
    <font>
      <sz val="11"/>
      <name val="Arial"/>
      <family val="2"/>
    </font>
    <font>
      <b/>
      <i/>
      <sz val="11"/>
      <name val="Calibri"/>
      <family val="2"/>
    </font>
    <font>
      <sz val="11"/>
      <color indexed="8"/>
      <name val="Calibri"/>
      <family val="2"/>
    </font>
    <font>
      <b/>
      <sz val="11"/>
      <color theme="1" tint="0.34998626667073579"/>
      <name val="Calibri"/>
      <family val="2"/>
    </font>
    <font>
      <sz val="11"/>
      <color indexed="22"/>
      <name val="Calibri"/>
      <family val="2"/>
    </font>
    <font>
      <i/>
      <sz val="11"/>
      <color indexed="8"/>
      <name val="Calibri"/>
      <family val="2"/>
    </font>
    <font>
      <sz val="11"/>
      <color rgb="FFFF0000"/>
      <name val="Calibri"/>
      <family val="2"/>
    </font>
    <font>
      <sz val="11"/>
      <color theme="0"/>
      <name val="Calibri"/>
      <family val="2"/>
      <scheme val="minor"/>
    </font>
    <font>
      <b/>
      <sz val="11"/>
      <color theme="8"/>
      <name val="Calibri"/>
      <family val="2"/>
    </font>
    <font>
      <sz val="11"/>
      <color indexed="10"/>
      <name val="Calibri"/>
      <family val="2"/>
    </font>
    <font>
      <sz val="11"/>
      <color indexed="8"/>
      <name val="Calibri"/>
      <family val="2"/>
      <scheme val="minor"/>
    </font>
    <font>
      <i/>
      <sz val="11"/>
      <color theme="1" tint="0.34998626667073579"/>
      <name val="Calibri"/>
      <family val="2"/>
      <scheme val="minor"/>
    </font>
    <font>
      <sz val="11"/>
      <color theme="8"/>
      <name val="Calibri"/>
      <family val="2"/>
    </font>
    <font>
      <i/>
      <sz val="10"/>
      <color rgb="FFFF0000"/>
      <name val="Calibri"/>
      <family val="2"/>
    </font>
    <font>
      <sz val="18"/>
      <color indexed="60"/>
      <name val="Calibri"/>
      <family val="2"/>
    </font>
    <font>
      <b/>
      <sz val="11"/>
      <color theme="1"/>
      <name val="Calibri"/>
      <family val="2"/>
    </font>
    <font>
      <b/>
      <sz val="11"/>
      <name val="Arial"/>
      <family val="2"/>
    </font>
    <font>
      <b/>
      <sz val="18"/>
      <color theme="8"/>
      <name val="Calibri"/>
      <family val="2"/>
    </font>
    <font>
      <sz val="18"/>
      <color theme="8"/>
      <name val="Calibri"/>
      <family val="2"/>
    </font>
    <font>
      <i/>
      <sz val="12"/>
      <color theme="8"/>
      <name val="Calibri"/>
      <family val="2"/>
    </font>
    <font>
      <sz val="12"/>
      <color theme="8"/>
      <name val="Calibri"/>
      <family val="2"/>
    </font>
    <font>
      <b/>
      <i/>
      <sz val="11"/>
      <color theme="8"/>
      <name val="Calibri"/>
      <family val="2"/>
    </font>
    <font>
      <b/>
      <sz val="14"/>
      <color theme="8"/>
      <name val="Calibri"/>
      <family val="2"/>
    </font>
    <font>
      <sz val="14"/>
      <name val="Calibri"/>
      <family val="2"/>
    </font>
    <font>
      <sz val="14"/>
      <color theme="0" tint="-4.9989318521683403E-2"/>
      <name val="Calibri"/>
      <family val="2"/>
    </font>
    <font>
      <b/>
      <sz val="11"/>
      <color rgb="FFFF0000"/>
      <name val="Calibri"/>
      <family val="2"/>
    </font>
    <font>
      <sz val="11"/>
      <color theme="0" tint="-4.9989318521683403E-2"/>
      <name val="Calibri"/>
      <family val="2"/>
      <scheme val="minor"/>
    </font>
    <font>
      <sz val="10"/>
      <color theme="0" tint="-4.9989318521683403E-2"/>
      <name val="Calibri"/>
      <family val="2"/>
    </font>
    <font>
      <sz val="9"/>
      <color rgb="FF0000FF"/>
      <name val="Calibri"/>
      <family val="2"/>
      <scheme val="minor"/>
    </font>
    <font>
      <i/>
      <sz val="9"/>
      <color theme="1"/>
      <name val="Calibri"/>
      <family val="2"/>
    </font>
    <font>
      <i/>
      <sz val="9"/>
      <color theme="0" tint="-4.9989318521683403E-2"/>
      <name val="Calibri"/>
      <family val="2"/>
    </font>
    <font>
      <i/>
      <sz val="9"/>
      <name val="Calibri"/>
      <family val="2"/>
    </font>
    <font>
      <b/>
      <sz val="18"/>
      <color rgb="FF1B84BE"/>
      <name val="Calibri"/>
      <family val="2"/>
      <scheme val="minor"/>
    </font>
    <font>
      <sz val="11"/>
      <color rgb="FF1B84BE"/>
      <name val="Calibri"/>
      <family val="2"/>
      <scheme val="minor"/>
    </font>
    <font>
      <sz val="11"/>
      <color rgb="FF7B8794"/>
      <name val="Calibri"/>
      <family val="2"/>
      <scheme val="minor"/>
    </font>
    <font>
      <b/>
      <sz val="11"/>
      <color rgb="FF1B84BE"/>
      <name val="Calibri"/>
      <family val="2"/>
      <scheme val="minor"/>
    </font>
    <font>
      <b/>
      <sz val="14"/>
      <color rgb="FFEAB700"/>
      <name val="Calibri"/>
      <family val="2"/>
      <scheme val="minor"/>
    </font>
    <font>
      <sz val="11"/>
      <color rgb="FF1B84BE"/>
      <name val="Calibri"/>
      <family val="2"/>
    </font>
    <font>
      <sz val="14"/>
      <color rgb="FF1B84BE"/>
      <name val="Calibri"/>
      <family val="2"/>
    </font>
    <font>
      <b/>
      <sz val="18"/>
      <color rgb="FF1B84BE"/>
      <name val="Calibri"/>
      <family val="2"/>
    </font>
    <font>
      <sz val="10"/>
      <color rgb="FF1B84BE"/>
      <name val="Arial"/>
      <family val="2"/>
    </font>
    <font>
      <sz val="18"/>
      <color rgb="FF1B84BE"/>
      <name val="Calibri"/>
      <family val="2"/>
    </font>
    <font>
      <sz val="12"/>
      <color rgb="FF1B84BE"/>
      <name val="Calibri"/>
      <family val="2"/>
    </font>
    <font>
      <i/>
      <sz val="12"/>
      <color rgb="FF1B84BE"/>
      <name val="Calibri"/>
      <family val="2"/>
    </font>
    <font>
      <b/>
      <i/>
      <sz val="12"/>
      <color rgb="FF1B84BE"/>
      <name val="Calibri"/>
      <family val="2"/>
    </font>
    <font>
      <b/>
      <i/>
      <sz val="11"/>
      <color rgb="FF1B84BE"/>
      <name val="Calibri"/>
      <family val="2"/>
    </font>
    <font>
      <b/>
      <sz val="11"/>
      <color rgb="FF1B84BE"/>
      <name val="Calibri"/>
      <family val="2"/>
    </font>
    <font>
      <b/>
      <sz val="14"/>
      <color rgb="FF1B84BE"/>
      <name val="Calibri"/>
      <family val="2"/>
    </font>
    <font>
      <sz val="10"/>
      <color rgb="FF1B84BE"/>
      <name val="Calibri"/>
      <family val="2"/>
    </font>
    <font>
      <sz val="11"/>
      <color rgb="FF1B84BE"/>
      <name val="Arial"/>
      <family val="2"/>
    </font>
    <font>
      <b/>
      <sz val="11"/>
      <color rgb="FF1B84BE"/>
      <name val="Arial"/>
      <family val="2"/>
    </font>
    <font>
      <b/>
      <sz val="16"/>
      <color rgb="FF1B84BE"/>
      <name val="Calibri"/>
      <family val="2"/>
    </font>
    <font>
      <sz val="11"/>
      <color theme="1"/>
      <name val="Calibri"/>
      <family val="2"/>
    </font>
    <font>
      <b/>
      <sz val="16"/>
      <color rgb="FF1B84BE"/>
      <name val="Calibri"/>
      <family val="2"/>
      <scheme val="minor"/>
    </font>
    <font>
      <sz val="11"/>
      <color theme="1"/>
      <name val="Arial"/>
      <family val="2"/>
    </font>
    <font>
      <sz val="11"/>
      <color rgb="FFFF0000"/>
      <name val="Calibri"/>
      <family val="2"/>
      <scheme val="minor"/>
    </font>
    <font>
      <b/>
      <sz val="11"/>
      <color theme="1"/>
      <name val="Calibri"/>
      <family val="2"/>
      <scheme val="minor"/>
    </font>
    <font>
      <sz val="10"/>
      <color theme="1"/>
      <name val="Arial"/>
      <family val="2"/>
    </font>
    <font>
      <sz val="18"/>
      <color theme="8"/>
      <name val="Calibri"/>
      <family val="2"/>
      <scheme val="minor"/>
    </font>
    <font>
      <b/>
      <sz val="18"/>
      <color theme="8"/>
      <name val="Calibri"/>
      <family val="2"/>
      <scheme val="minor"/>
    </font>
    <font>
      <sz val="12"/>
      <color theme="8"/>
      <name val="Calibri"/>
      <family val="2"/>
      <scheme val="minor"/>
    </font>
    <font>
      <sz val="10"/>
      <color rgb="FFFF0000"/>
      <name val="Calibri"/>
      <family val="2"/>
      <scheme val="minor"/>
    </font>
    <font>
      <i/>
      <sz val="11"/>
      <color indexed="8"/>
      <name val="Calibri"/>
      <family val="2"/>
      <scheme val="minor"/>
    </font>
    <font>
      <sz val="11"/>
      <color rgb="FF7030A0"/>
      <name val="Calibri"/>
      <family val="2"/>
      <scheme val="minor"/>
    </font>
    <font>
      <b/>
      <i/>
      <sz val="11"/>
      <name val="Calibri"/>
      <family val="2"/>
      <scheme val="minor"/>
    </font>
    <font>
      <b/>
      <sz val="11"/>
      <color indexed="8"/>
      <name val="Calibri"/>
      <family val="2"/>
      <scheme val="minor"/>
    </font>
    <font>
      <b/>
      <i/>
      <sz val="11"/>
      <color theme="8"/>
      <name val="Calibri"/>
      <family val="2"/>
      <scheme val="minor"/>
    </font>
    <font>
      <i/>
      <sz val="11"/>
      <color theme="1"/>
      <name val="Calibri"/>
      <family val="2"/>
      <scheme val="minor"/>
    </font>
    <font>
      <sz val="18"/>
      <color indexed="60"/>
      <name val="Calibri"/>
      <family val="2"/>
      <scheme val="minor"/>
    </font>
    <font>
      <b/>
      <i/>
      <sz val="11"/>
      <color theme="6"/>
      <name val="Calibri"/>
      <family val="2"/>
      <scheme val="minor"/>
    </font>
    <font>
      <b/>
      <i/>
      <sz val="11"/>
      <color rgb="FF1B84BE"/>
      <name val="Calibri"/>
      <family val="2"/>
      <scheme val="minor"/>
    </font>
    <font>
      <b/>
      <sz val="9"/>
      <color rgb="FF1B84BE"/>
      <name val="Calibri"/>
      <family val="2"/>
      <scheme val="minor"/>
    </font>
    <font>
      <sz val="9"/>
      <color rgb="FF1B84BE"/>
      <name val="Calibri"/>
      <family val="2"/>
      <scheme val="minor"/>
    </font>
    <font>
      <i/>
      <sz val="11"/>
      <color theme="1"/>
      <name val="Calibri"/>
      <family val="2"/>
    </font>
    <font>
      <i/>
      <sz val="10"/>
      <color theme="1"/>
      <name val="Arial"/>
      <family val="2"/>
    </font>
    <font>
      <sz val="14"/>
      <color rgb="FFC00000"/>
      <name val="Calibri"/>
      <family val="2"/>
      <scheme val="minor"/>
    </font>
    <font>
      <sz val="9"/>
      <color rgb="FFC00000"/>
      <name val="Arial"/>
      <family val="2"/>
    </font>
    <font>
      <b/>
      <sz val="9"/>
      <color rgb="FFC00000"/>
      <name val="Calibri"/>
      <family val="2"/>
      <scheme val="minor"/>
    </font>
    <font>
      <b/>
      <sz val="9"/>
      <color indexed="8"/>
      <name val="Calibri"/>
      <family val="2"/>
      <scheme val="minor"/>
    </font>
    <font>
      <sz val="9"/>
      <color theme="1"/>
      <name val="Calibri"/>
      <family val="2"/>
      <scheme val="minor"/>
    </font>
    <font>
      <sz val="10"/>
      <color theme="0" tint="-0.249977111117893"/>
      <name val="Calibri"/>
      <family val="2"/>
    </font>
    <font>
      <i/>
      <sz val="9"/>
      <color theme="0" tint="-0.249977111117893"/>
      <name val="Calibri"/>
      <family val="2"/>
      <scheme val="minor"/>
    </font>
    <font>
      <sz val="9"/>
      <color rgb="FFFFFF99"/>
      <name val="Calibri"/>
      <family val="2"/>
      <scheme val="minor"/>
    </font>
    <font>
      <b/>
      <sz val="11"/>
      <color theme="0" tint="-4.9989318521683403E-2"/>
      <name val="Calibri"/>
      <family val="2"/>
    </font>
    <font>
      <i/>
      <sz val="14"/>
      <color theme="0" tint="-4.9989318521683403E-2"/>
      <name val="Calibri"/>
      <family val="2"/>
    </font>
    <font>
      <i/>
      <sz val="11"/>
      <color rgb="FFFF0000"/>
      <name val="Calibri"/>
      <family val="2"/>
    </font>
    <font>
      <sz val="14"/>
      <color rgb="FFFF0000"/>
      <name val="Calibri"/>
      <family val="2"/>
      <scheme val="minor"/>
    </font>
  </fonts>
  <fills count="1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99CCFF"/>
        <bgColor indexed="64"/>
      </patternFill>
    </fill>
    <fill>
      <patternFill patternType="solid">
        <fgColor rgb="FFEAB70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rgb="FFFFC000"/>
        <bgColor indexed="64"/>
      </patternFill>
    </fill>
    <fill>
      <patternFill patternType="solid">
        <fgColor theme="3" tint="0.59999389629810485"/>
        <bgColor indexed="64"/>
      </patternFill>
    </fill>
  </fills>
  <borders count="65">
    <border>
      <left/>
      <right/>
      <top/>
      <bottom/>
      <diagonal/>
    </border>
    <border>
      <left style="thin">
        <color indexed="64"/>
      </left>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style="thin">
        <color theme="0" tint="-4.9989318521683403E-2"/>
      </right>
      <top/>
      <bottom/>
      <diagonal/>
    </border>
    <border>
      <left style="thin">
        <color theme="0" tint="-4.9989318521683403E-2"/>
      </left>
      <right/>
      <top/>
      <bottom style="thin">
        <color theme="0" tint="-4.9989318521683403E-2"/>
      </bottom>
      <diagonal/>
    </border>
    <border>
      <left style="thin">
        <color theme="0" tint="-4.9989318521683403E-2"/>
      </left>
      <right/>
      <top/>
      <bottom/>
      <diagonal/>
    </border>
    <border>
      <left style="thin">
        <color theme="8"/>
      </left>
      <right style="thin">
        <color theme="8"/>
      </right>
      <top style="thin">
        <color theme="8"/>
      </top>
      <bottom style="thin">
        <color theme="8"/>
      </bottom>
      <diagonal/>
    </border>
    <border>
      <left style="thin">
        <color theme="8"/>
      </left>
      <right/>
      <top style="thin">
        <color theme="8"/>
      </top>
      <bottom style="thin">
        <color theme="8"/>
      </bottom>
      <diagonal/>
    </border>
    <border>
      <left/>
      <right style="thin">
        <color theme="8"/>
      </right>
      <top style="thin">
        <color theme="8"/>
      </top>
      <bottom style="thin">
        <color theme="8"/>
      </bottom>
      <diagonal/>
    </border>
    <border>
      <left/>
      <right style="thin">
        <color theme="0" tint="-4.9989318521683403E-2"/>
      </right>
      <top/>
      <bottom/>
      <diagonal/>
    </border>
    <border>
      <left style="thin">
        <color theme="0" tint="-4.9989318521683403E-2"/>
      </left>
      <right style="thin">
        <color theme="0" tint="-4.9989318521683403E-2"/>
      </right>
      <top/>
      <bottom style="thin">
        <color theme="0" tint="-4.9989318521683403E-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theme="2" tint="-0.24994659260841701"/>
      </right>
      <top/>
      <bottom/>
      <diagonal/>
    </border>
    <border>
      <left style="thin">
        <color rgb="FF1B84BE"/>
      </left>
      <right style="thin">
        <color rgb="FF1B84BE"/>
      </right>
      <top style="thin">
        <color rgb="FF1B84BE"/>
      </top>
      <bottom style="thin">
        <color rgb="FF1B84BE"/>
      </bottom>
      <diagonal/>
    </border>
    <border>
      <left style="thick">
        <color rgb="FF1B84BE"/>
      </left>
      <right/>
      <top style="thick">
        <color rgb="FF1B84BE"/>
      </top>
      <bottom/>
      <diagonal/>
    </border>
    <border>
      <left/>
      <right/>
      <top style="thick">
        <color rgb="FF1B84BE"/>
      </top>
      <bottom/>
      <diagonal/>
    </border>
    <border>
      <left/>
      <right style="thick">
        <color rgb="FF1B84BE"/>
      </right>
      <top style="thick">
        <color rgb="FF1B84BE"/>
      </top>
      <bottom/>
      <diagonal/>
    </border>
    <border>
      <left style="thick">
        <color rgb="FF1B84BE"/>
      </left>
      <right/>
      <top/>
      <bottom/>
      <diagonal/>
    </border>
    <border>
      <left/>
      <right style="thick">
        <color rgb="FF1B84BE"/>
      </right>
      <top/>
      <bottom/>
      <diagonal/>
    </border>
    <border>
      <left style="thick">
        <color rgb="FF1B84BE"/>
      </left>
      <right/>
      <top/>
      <bottom style="thick">
        <color rgb="FF1B84BE"/>
      </bottom>
      <diagonal/>
    </border>
    <border>
      <left/>
      <right/>
      <top/>
      <bottom style="thick">
        <color rgb="FF1B84BE"/>
      </bottom>
      <diagonal/>
    </border>
    <border>
      <left/>
      <right style="thick">
        <color rgb="FF1B84BE"/>
      </right>
      <top/>
      <bottom style="thick">
        <color rgb="FF1B84BE"/>
      </bottom>
      <diagonal/>
    </border>
    <border>
      <left style="thin">
        <color rgb="FF1B84BE"/>
      </left>
      <right/>
      <top style="thin">
        <color rgb="FF1B84BE"/>
      </top>
      <bottom style="thin">
        <color rgb="FF1B84BE"/>
      </bottom>
      <diagonal/>
    </border>
    <border>
      <left/>
      <right style="thin">
        <color rgb="FF1B84BE"/>
      </right>
      <top style="thin">
        <color rgb="FF1B84BE"/>
      </top>
      <bottom style="thin">
        <color rgb="FF1B84BE"/>
      </bottom>
      <diagonal/>
    </border>
    <border>
      <left style="thin">
        <color rgb="FF1B84BE"/>
      </left>
      <right style="thin">
        <color rgb="FF1B84BE"/>
      </right>
      <top style="thin">
        <color rgb="FF1B84BE"/>
      </top>
      <bottom style="thin">
        <color theme="8"/>
      </bottom>
      <diagonal/>
    </border>
    <border>
      <left style="thin">
        <color rgb="FF1B84BE"/>
      </left>
      <right style="thin">
        <color rgb="FF1B84BE"/>
      </right>
      <top style="thin">
        <color theme="8"/>
      </top>
      <bottom style="thin">
        <color theme="8"/>
      </bottom>
      <diagonal/>
    </border>
    <border>
      <left style="thin">
        <color rgb="FF1B84BE"/>
      </left>
      <right style="thin">
        <color rgb="FF1B84BE"/>
      </right>
      <top style="thin">
        <color theme="2" tint="-0.24994659260841701"/>
      </top>
      <bottom style="thin">
        <color theme="2" tint="-0.24994659260841701"/>
      </bottom>
      <diagonal/>
    </border>
    <border>
      <left style="thin">
        <color rgb="FF1B84BE"/>
      </left>
      <right style="thin">
        <color rgb="FF1B84BE"/>
      </right>
      <top style="thin">
        <color theme="2" tint="-0.24994659260841701"/>
      </top>
      <bottom style="thin">
        <color rgb="FF1B84BE"/>
      </bottom>
      <diagonal/>
    </border>
    <border>
      <left style="thin">
        <color rgb="FF1B84BE"/>
      </left>
      <right style="thin">
        <color rgb="FF1B84BE"/>
      </right>
      <top style="thin">
        <color rgb="FF1B84BE"/>
      </top>
      <bottom style="thin">
        <color rgb="FF00B0F0"/>
      </bottom>
      <diagonal/>
    </border>
    <border>
      <left style="thin">
        <color rgb="FF1B84BE"/>
      </left>
      <right style="thin">
        <color theme="8"/>
      </right>
      <top style="thin">
        <color rgb="FF1B84BE"/>
      </top>
      <bottom style="thin">
        <color theme="8"/>
      </bottom>
      <diagonal/>
    </border>
    <border>
      <left style="thin">
        <color theme="8"/>
      </left>
      <right style="thin">
        <color rgb="FF1B84BE"/>
      </right>
      <top style="thin">
        <color rgb="FF1B84BE"/>
      </top>
      <bottom style="thin">
        <color theme="8"/>
      </bottom>
      <diagonal/>
    </border>
    <border>
      <left style="thin">
        <color rgb="FF1B84BE"/>
      </left>
      <right style="thin">
        <color theme="8"/>
      </right>
      <top style="thin">
        <color theme="8"/>
      </top>
      <bottom style="thin">
        <color theme="8"/>
      </bottom>
      <diagonal/>
    </border>
    <border>
      <left style="thin">
        <color theme="8"/>
      </left>
      <right style="thin">
        <color rgb="FF1B84BE"/>
      </right>
      <top style="thin">
        <color theme="8"/>
      </top>
      <bottom style="thin">
        <color theme="8"/>
      </bottom>
      <diagonal/>
    </border>
    <border>
      <left style="thin">
        <color rgb="FF1B84BE"/>
      </left>
      <right style="thin">
        <color theme="8"/>
      </right>
      <top style="thin">
        <color theme="8"/>
      </top>
      <bottom style="thin">
        <color rgb="FF1B84BE"/>
      </bottom>
      <diagonal/>
    </border>
    <border>
      <left style="thin">
        <color theme="8"/>
      </left>
      <right style="thin">
        <color rgb="FF1B84BE"/>
      </right>
      <top style="thin">
        <color theme="8"/>
      </top>
      <bottom style="thin">
        <color rgb="FF1B84BE"/>
      </bottom>
      <diagonal/>
    </border>
    <border>
      <left style="thin">
        <color rgb="FF1B84BE"/>
      </left>
      <right style="thin">
        <color theme="8"/>
      </right>
      <top style="thin">
        <color rgb="FF1B84BE"/>
      </top>
      <bottom style="thin">
        <color rgb="FF1B84BE"/>
      </bottom>
      <diagonal/>
    </border>
    <border>
      <left style="thin">
        <color theme="8"/>
      </left>
      <right style="thin">
        <color rgb="FF1B84BE"/>
      </right>
      <top style="thin">
        <color rgb="FF1B84BE"/>
      </top>
      <bottom style="thin">
        <color rgb="FF1B84BE"/>
      </bottom>
      <diagonal/>
    </border>
    <border>
      <left style="thick">
        <color rgb="FFEAB700"/>
      </left>
      <right/>
      <top style="thick">
        <color rgb="FFEAB700"/>
      </top>
      <bottom/>
      <diagonal/>
    </border>
    <border>
      <left/>
      <right/>
      <top style="thick">
        <color rgb="FFEAB700"/>
      </top>
      <bottom/>
      <diagonal/>
    </border>
    <border>
      <left/>
      <right style="thick">
        <color rgb="FFEAB700"/>
      </right>
      <top style="thick">
        <color rgb="FFEAB700"/>
      </top>
      <bottom/>
      <diagonal/>
    </border>
    <border>
      <left style="thick">
        <color rgb="FFEAB700"/>
      </left>
      <right/>
      <top/>
      <bottom/>
      <diagonal/>
    </border>
    <border>
      <left/>
      <right style="thick">
        <color rgb="FFEAB700"/>
      </right>
      <top/>
      <bottom/>
      <diagonal/>
    </border>
    <border>
      <left style="thick">
        <color rgb="FFEAB700"/>
      </left>
      <right/>
      <top/>
      <bottom style="thick">
        <color rgb="FFEAB700"/>
      </bottom>
      <diagonal/>
    </border>
    <border>
      <left/>
      <right/>
      <top/>
      <bottom style="thick">
        <color rgb="FFEAB700"/>
      </bottom>
      <diagonal/>
    </border>
    <border>
      <left/>
      <right style="thick">
        <color rgb="FFEAB700"/>
      </right>
      <top/>
      <bottom style="thick">
        <color rgb="FFEAB700"/>
      </bottom>
      <diagonal/>
    </border>
    <border>
      <left style="medium">
        <color theme="0" tint="-4.9989318521683403E-2"/>
      </left>
      <right style="medium">
        <color theme="0" tint="-4.9989318521683403E-2"/>
      </right>
      <top style="medium">
        <color theme="0" tint="-4.9989318521683403E-2"/>
      </top>
      <bottom style="medium">
        <color theme="0" tint="-4.9989318521683403E-2"/>
      </bottom>
      <diagonal/>
    </border>
    <border>
      <left style="medium">
        <color theme="0" tint="-4.9989318521683403E-2"/>
      </left>
      <right style="medium">
        <color theme="0" tint="-4.9989318521683403E-2"/>
      </right>
      <top style="medium">
        <color theme="0" tint="-4.9989318521683403E-2"/>
      </top>
      <bottom style="thin">
        <color theme="0" tint="-4.9989318521683403E-2"/>
      </bottom>
      <diagonal/>
    </border>
    <border>
      <left style="medium">
        <color theme="0" tint="-4.9989318521683403E-2"/>
      </left>
      <right style="medium">
        <color theme="0" tint="-4.9989318521683403E-2"/>
      </right>
      <top style="thin">
        <color theme="0" tint="-4.9989318521683403E-2"/>
      </top>
      <bottom style="medium">
        <color theme="0" tint="-4.9989318521683403E-2"/>
      </bottom>
      <diagonal/>
    </border>
    <border>
      <left style="thin">
        <color rgb="FF1B84BE"/>
      </left>
      <right style="thin">
        <color indexed="64"/>
      </right>
      <top style="thin">
        <color rgb="FF1B84BE"/>
      </top>
      <bottom style="thin">
        <color rgb="FF1B84BE"/>
      </bottom>
      <diagonal/>
    </border>
    <border>
      <left style="thin">
        <color indexed="64"/>
      </left>
      <right style="thin">
        <color rgb="FF1B84BE"/>
      </right>
      <top style="thin">
        <color rgb="FF1B84BE"/>
      </top>
      <bottom style="thin">
        <color rgb="FF1B84BE"/>
      </bottom>
      <diagonal/>
    </border>
    <border>
      <left style="thick">
        <color theme="0" tint="-4.9989318521683403E-2"/>
      </left>
      <right style="thin">
        <color theme="2" tint="-0.24994659260841701"/>
      </right>
      <top style="thick">
        <color theme="0" tint="-4.9989318521683403E-2"/>
      </top>
      <bottom style="thick">
        <color theme="0" tint="-4.9989318521683403E-2"/>
      </bottom>
      <diagonal/>
    </border>
    <border>
      <left style="thin">
        <color theme="2" tint="-0.24994659260841701"/>
      </left>
      <right style="thick">
        <color theme="0" tint="-4.9989318521683403E-2"/>
      </right>
      <top style="thick">
        <color theme="0" tint="-4.9989318521683403E-2"/>
      </top>
      <bottom style="thick">
        <color theme="0" tint="-4.9989318521683403E-2"/>
      </bottom>
      <diagonal/>
    </border>
    <border>
      <left style="thick">
        <color theme="0" tint="-4.9989318521683403E-2"/>
      </left>
      <right style="thick">
        <color theme="0" tint="-4.9989318521683403E-2"/>
      </right>
      <top style="thick">
        <color theme="0" tint="-4.9989318521683403E-2"/>
      </top>
      <bottom style="thick">
        <color theme="0" tint="-4.9989318521683403E-2"/>
      </bottom>
      <diagonal/>
    </border>
    <border>
      <left style="thick">
        <color theme="0" tint="-4.9989318521683403E-2"/>
      </left>
      <right style="thick">
        <color theme="0" tint="-4.9989318521683403E-2"/>
      </right>
      <top style="thick">
        <color theme="0" tint="-4.9989318521683403E-2"/>
      </top>
      <bottom/>
      <diagonal/>
    </border>
    <border>
      <left style="thick">
        <color theme="0" tint="-4.9989318521683403E-2"/>
      </left>
      <right/>
      <top style="thick">
        <color theme="0" tint="-4.9989318521683403E-2"/>
      </top>
      <bottom style="thick">
        <color theme="0" tint="-4.9989318521683403E-2"/>
      </bottom>
      <diagonal/>
    </border>
    <border>
      <left/>
      <right style="thick">
        <color theme="0" tint="-4.9989318521683403E-2"/>
      </right>
      <top style="thick">
        <color theme="0" tint="-4.9989318521683403E-2"/>
      </top>
      <bottom style="thick">
        <color theme="0" tint="-4.9989318521683403E-2"/>
      </bottom>
      <diagonal/>
    </border>
    <border>
      <left style="thick">
        <color theme="0" tint="-4.9989318521683403E-2"/>
      </left>
      <right style="thick">
        <color theme="0" tint="-4.9989318521683403E-2"/>
      </right>
      <top/>
      <bottom style="thick">
        <color theme="0" tint="-4.9989318521683403E-2"/>
      </bottom>
      <diagonal/>
    </border>
  </borders>
  <cellStyleXfs count="6">
    <xf numFmtId="0" fontId="0" fillId="0" borderId="0"/>
    <xf numFmtId="0" fontId="3" fillId="0" borderId="0" applyNumberFormat="0" applyFill="0" applyBorder="0" applyAlignment="0" applyProtection="0">
      <alignment vertical="top"/>
      <protection locked="0"/>
    </xf>
    <xf numFmtId="9" fontId="2" fillId="0" borderId="0" applyFont="0" applyFill="0" applyBorder="0" applyAlignment="0" applyProtection="0"/>
    <xf numFmtId="164" fontId="2" fillId="0" borderId="0" applyFont="0" applyFill="0" applyBorder="0" applyAlignment="0" applyProtection="0"/>
    <xf numFmtId="0" fontId="2" fillId="0" borderId="0"/>
    <xf numFmtId="43" fontId="32" fillId="0" borderId="0" applyFont="0" applyFill="0" applyBorder="0" applyAlignment="0" applyProtection="0"/>
  </cellStyleXfs>
  <cellXfs count="545">
    <xf numFmtId="0" fontId="0" fillId="0" borderId="0" xfId="0"/>
    <xf numFmtId="0" fontId="17" fillId="0" borderId="0" xfId="0" applyFont="1" applyAlignment="1" applyProtection="1">
      <alignment horizontal="left"/>
    </xf>
    <xf numFmtId="0" fontId="22" fillId="0" borderId="0" xfId="0" applyFont="1" applyAlignment="1" applyProtection="1">
      <alignment horizontal="center"/>
    </xf>
    <xf numFmtId="0" fontId="21" fillId="0" borderId="0" xfId="0" applyFont="1" applyAlignment="1" applyProtection="1">
      <alignment horizontal="left"/>
    </xf>
    <xf numFmtId="10" fontId="17" fillId="0" borderId="0" xfId="0" applyNumberFormat="1" applyFont="1" applyAlignment="1" applyProtection="1">
      <alignment horizontal="left"/>
    </xf>
    <xf numFmtId="0" fontId="25" fillId="0" borderId="0" xfId="1" applyFont="1" applyAlignment="1" applyProtection="1">
      <alignment horizontal="left"/>
    </xf>
    <xf numFmtId="10" fontId="24" fillId="0" borderId="0" xfId="1" applyNumberFormat="1" applyFont="1" applyAlignment="1" applyProtection="1">
      <alignment horizontal="left"/>
    </xf>
    <xf numFmtId="3" fontId="25" fillId="0" borderId="0" xfId="1" applyNumberFormat="1" applyFont="1" applyAlignment="1" applyProtection="1">
      <alignment horizontal="left"/>
    </xf>
    <xf numFmtId="0" fontId="17" fillId="0" borderId="0" xfId="0" applyFont="1" applyFill="1" applyAlignment="1" applyProtection="1">
      <alignment horizontal="left"/>
    </xf>
    <xf numFmtId="0" fontId="17" fillId="0" borderId="0" xfId="0" applyFont="1" applyAlignment="1" applyProtection="1">
      <alignment horizontal="right"/>
    </xf>
    <xf numFmtId="166" fontId="17" fillId="0" borderId="0" xfId="0" applyNumberFormat="1" applyFont="1" applyAlignment="1" applyProtection="1">
      <alignment horizontal="left"/>
    </xf>
    <xf numFmtId="0" fontId="7" fillId="6" borderId="0" xfId="0" applyFont="1" applyFill="1" applyBorder="1" applyAlignment="1" applyProtection="1">
      <alignment vertical="top"/>
    </xf>
    <xf numFmtId="0" fontId="6" fillId="2" borderId="0" xfId="0" applyFont="1" applyFill="1" applyBorder="1" applyAlignment="1" applyProtection="1">
      <alignment vertical="top"/>
    </xf>
    <xf numFmtId="0" fontId="6" fillId="2" borderId="0" xfId="0" applyFont="1" applyFill="1" applyBorder="1" applyAlignment="1" applyProtection="1">
      <alignment horizontal="center" vertical="top"/>
    </xf>
    <xf numFmtId="14" fontId="6" fillId="2" borderId="0" xfId="0" applyNumberFormat="1" applyFont="1" applyFill="1" applyBorder="1" applyAlignment="1" applyProtection="1">
      <alignment horizontal="center" vertical="top"/>
    </xf>
    <xf numFmtId="0" fontId="8" fillId="6" borderId="0" xfId="0" applyFont="1" applyFill="1" applyBorder="1" applyAlignment="1" applyProtection="1">
      <alignment vertical="top"/>
    </xf>
    <xf numFmtId="0" fontId="7" fillId="4" borderId="0" xfId="0" applyFont="1" applyFill="1" applyBorder="1" applyAlignment="1" applyProtection="1">
      <alignment vertical="top"/>
    </xf>
    <xf numFmtId="0" fontId="6" fillId="4" borderId="0" xfId="0" applyFont="1" applyFill="1" applyBorder="1" applyAlignment="1" applyProtection="1">
      <alignment vertical="top"/>
    </xf>
    <xf numFmtId="173" fontId="17" fillId="0" borderId="0" xfId="3" applyNumberFormat="1" applyFont="1" applyAlignment="1" applyProtection="1">
      <alignment horizontal="left"/>
    </xf>
    <xf numFmtId="172" fontId="17" fillId="0" borderId="0" xfId="0" applyNumberFormat="1" applyFont="1" applyAlignment="1" applyProtection="1">
      <alignment horizontal="left"/>
    </xf>
    <xf numFmtId="173" fontId="17" fillId="0" borderId="0" xfId="0" applyNumberFormat="1" applyFont="1" applyAlignment="1" applyProtection="1">
      <alignment horizontal="left"/>
    </xf>
    <xf numFmtId="3" fontId="30" fillId="0" borderId="0" xfId="0" applyNumberFormat="1" applyFont="1" applyFill="1" applyBorder="1" applyAlignment="1" applyProtection="1">
      <alignment horizontal="left"/>
    </xf>
    <xf numFmtId="3" fontId="18" fillId="0" borderId="0" xfId="0" applyNumberFormat="1" applyFont="1" applyFill="1" applyBorder="1" applyAlignment="1" applyProtection="1">
      <alignment horizontal="left"/>
    </xf>
    <xf numFmtId="0" fontId="22" fillId="0" borderId="0" xfId="0" applyFont="1" applyFill="1" applyAlignment="1" applyProtection="1">
      <alignment horizontal="center"/>
    </xf>
    <xf numFmtId="166" fontId="17" fillId="0" borderId="0" xfId="0" applyNumberFormat="1" applyFont="1" applyAlignment="1" applyProtection="1">
      <alignment horizontal="right"/>
    </xf>
    <xf numFmtId="173" fontId="17" fillId="0" borderId="0" xfId="2" applyNumberFormat="1" applyFont="1" applyAlignment="1" applyProtection="1">
      <alignment horizontal="left"/>
    </xf>
    <xf numFmtId="0" fontId="6" fillId="6" borderId="0" xfId="0" applyFont="1" applyFill="1" applyBorder="1" applyAlignment="1" applyProtection="1">
      <alignment vertical="top"/>
    </xf>
    <xf numFmtId="0" fontId="6" fillId="6" borderId="0" xfId="0" applyFont="1" applyFill="1" applyBorder="1" applyAlignment="1" applyProtection="1">
      <alignment horizontal="center" vertical="top"/>
    </xf>
    <xf numFmtId="0" fontId="9" fillId="6" borderId="0" xfId="0" applyFont="1" applyFill="1" applyBorder="1" applyAlignment="1" applyProtection="1">
      <alignment vertical="top"/>
    </xf>
    <xf numFmtId="0" fontId="9" fillId="6" borderId="0" xfId="0" applyFont="1" applyFill="1" applyBorder="1" applyAlignment="1" applyProtection="1">
      <alignment horizontal="center" vertical="top"/>
    </xf>
    <xf numFmtId="0" fontId="31" fillId="6" borderId="0" xfId="0" applyFont="1" applyFill="1" applyBorder="1" applyAlignment="1" applyProtection="1">
      <alignment vertical="top"/>
    </xf>
    <xf numFmtId="0" fontId="31" fillId="6" borderId="0" xfId="0" applyFont="1" applyFill="1" applyBorder="1" applyAlignment="1" applyProtection="1">
      <alignment horizontal="center" vertical="top"/>
    </xf>
    <xf numFmtId="0" fontId="8" fillId="4" borderId="0" xfId="0" applyFont="1" applyFill="1" applyBorder="1" applyAlignment="1" applyProtection="1">
      <alignment vertical="top"/>
    </xf>
    <xf numFmtId="0" fontId="13" fillId="4" borderId="0" xfId="0" applyFont="1" applyFill="1" applyBorder="1" applyAlignment="1" applyProtection="1">
      <alignment vertical="top"/>
    </xf>
    <xf numFmtId="0" fontId="10" fillId="4" borderId="0" xfId="0" applyFont="1" applyFill="1" applyBorder="1" applyAlignment="1" applyProtection="1">
      <alignment vertical="top"/>
    </xf>
    <xf numFmtId="0" fontId="31" fillId="4" borderId="0" xfId="0" applyFont="1" applyFill="1" applyBorder="1" applyAlignment="1" applyProtection="1">
      <alignment vertical="top"/>
    </xf>
    <xf numFmtId="0" fontId="6" fillId="4" borderId="0" xfId="0" applyFont="1" applyFill="1" applyBorder="1" applyAlignment="1" applyProtection="1">
      <alignment horizontal="center" vertical="top"/>
    </xf>
    <xf numFmtId="0" fontId="33" fillId="4" borderId="0" xfId="0" applyFont="1" applyFill="1"/>
    <xf numFmtId="0" fontId="33" fillId="6" borderId="0" xfId="0" applyFont="1" applyFill="1" applyBorder="1"/>
    <xf numFmtId="0" fontId="33" fillId="4" borderId="0" xfId="0" applyFont="1" applyFill="1" applyBorder="1"/>
    <xf numFmtId="0" fontId="33" fillId="6" borderId="0" xfId="0" applyFont="1" applyFill="1" applyBorder="1" applyAlignment="1">
      <alignment vertical="top"/>
    </xf>
    <xf numFmtId="0" fontId="33" fillId="4" borderId="0" xfId="0" applyFont="1" applyFill="1" applyBorder="1" applyAlignment="1">
      <alignment vertical="top"/>
    </xf>
    <xf numFmtId="0" fontId="34" fillId="6" borderId="0" xfId="0" applyFont="1" applyFill="1" applyBorder="1" applyAlignment="1" applyProtection="1">
      <alignment vertical="top"/>
    </xf>
    <xf numFmtId="0" fontId="20" fillId="6" borderId="0" xfId="0" applyFont="1" applyFill="1" applyBorder="1" applyAlignment="1" applyProtection="1">
      <alignment vertical="top"/>
    </xf>
    <xf numFmtId="0" fontId="39" fillId="6" borderId="0" xfId="0" applyFont="1" applyFill="1" applyBorder="1" applyAlignment="1" applyProtection="1">
      <alignment vertical="top"/>
    </xf>
    <xf numFmtId="0" fontId="40" fillId="6" borderId="0" xfId="0" applyFont="1" applyFill="1" applyBorder="1" applyAlignment="1" applyProtection="1">
      <alignment horizontal="center" vertical="top"/>
    </xf>
    <xf numFmtId="0" fontId="40" fillId="6" borderId="0" xfId="0" applyFont="1" applyFill="1" applyBorder="1" applyAlignment="1" applyProtection="1">
      <alignment vertical="top"/>
    </xf>
    <xf numFmtId="1" fontId="6" fillId="6" borderId="0" xfId="0" applyNumberFormat="1" applyFont="1" applyFill="1" applyBorder="1" applyAlignment="1" applyProtection="1">
      <alignment vertical="top"/>
    </xf>
    <xf numFmtId="0" fontId="41" fillId="6" borderId="0" xfId="0" applyFont="1" applyFill="1" applyBorder="1" applyAlignment="1" applyProtection="1">
      <alignment vertical="top"/>
    </xf>
    <xf numFmtId="0" fontId="42" fillId="6" borderId="0" xfId="0" applyFont="1" applyFill="1" applyBorder="1" applyAlignment="1" applyProtection="1">
      <alignment vertical="top"/>
    </xf>
    <xf numFmtId="0" fontId="20" fillId="6" borderId="0" xfId="0" applyFont="1" applyFill="1" applyBorder="1" applyAlignment="1" applyProtection="1">
      <alignment horizontal="center" vertical="top"/>
    </xf>
    <xf numFmtId="9" fontId="40" fillId="6" borderId="0" xfId="2" applyFont="1" applyFill="1" applyBorder="1" applyAlignment="1" applyProtection="1">
      <alignment horizontal="center" vertical="top"/>
    </xf>
    <xf numFmtId="0" fontId="40" fillId="6" borderId="0" xfId="0" applyFont="1" applyFill="1" applyBorder="1" applyAlignment="1" applyProtection="1">
      <alignment horizontal="left" vertical="top"/>
    </xf>
    <xf numFmtId="165" fontId="6" fillId="6" borderId="0" xfId="0" applyNumberFormat="1" applyFont="1" applyFill="1" applyBorder="1" applyAlignment="1" applyProtection="1">
      <alignment horizontal="center" vertical="top"/>
    </xf>
    <xf numFmtId="9" fontId="6" fillId="6" borderId="0" xfId="0" applyNumberFormat="1" applyFont="1" applyFill="1" applyBorder="1" applyAlignment="1" applyProtection="1">
      <alignment vertical="top"/>
    </xf>
    <xf numFmtId="10" fontId="6" fillId="6" borderId="0" xfId="0" applyNumberFormat="1" applyFont="1" applyFill="1" applyBorder="1" applyAlignment="1" applyProtection="1">
      <alignment vertical="top"/>
    </xf>
    <xf numFmtId="0" fontId="6" fillId="6" borderId="2" xfId="0" applyFont="1" applyFill="1" applyBorder="1" applyAlignment="1" applyProtection="1">
      <alignment vertical="top"/>
    </xf>
    <xf numFmtId="0" fontId="39" fillId="6" borderId="0" xfId="0" applyFont="1" applyFill="1" applyBorder="1" applyAlignment="1" applyProtection="1">
      <alignment horizontal="center" vertical="top"/>
    </xf>
    <xf numFmtId="168" fontId="6" fillId="6" borderId="0" xfId="0" applyNumberFormat="1" applyFont="1" applyFill="1" applyBorder="1" applyAlignment="1" applyProtection="1">
      <alignment horizontal="center" vertical="top"/>
    </xf>
    <xf numFmtId="0" fontId="6" fillId="4" borderId="0" xfId="0" applyFont="1" applyFill="1"/>
    <xf numFmtId="0" fontId="6" fillId="4" borderId="0" xfId="0" applyFont="1" applyFill="1" applyBorder="1"/>
    <xf numFmtId="0" fontId="6" fillId="6" borderId="0" xfId="0" applyFont="1" applyFill="1" applyBorder="1"/>
    <xf numFmtId="0" fontId="6" fillId="6" borderId="0" xfId="0" quotePrefix="1" applyFont="1" applyFill="1" applyBorder="1"/>
    <xf numFmtId="0" fontId="38" fillId="4" borderId="0" xfId="0" applyFont="1" applyFill="1"/>
    <xf numFmtId="0" fontId="33" fillId="4" borderId="0" xfId="0" applyFont="1" applyFill="1" applyAlignment="1">
      <alignment vertical="top"/>
    </xf>
    <xf numFmtId="0" fontId="33" fillId="0" borderId="0" xfId="0" applyFont="1"/>
    <xf numFmtId="0" fontId="34" fillId="6" borderId="2" xfId="0" applyFont="1" applyFill="1" applyBorder="1" applyAlignment="1" applyProtection="1">
      <alignment vertical="top"/>
    </xf>
    <xf numFmtId="0" fontId="33" fillId="6" borderId="3" xfId="0" applyFont="1" applyFill="1" applyBorder="1" applyAlignment="1" applyProtection="1">
      <alignment vertical="top"/>
    </xf>
    <xf numFmtId="0" fontId="34" fillId="6" borderId="5" xfId="0" applyFont="1" applyFill="1" applyBorder="1" applyAlignment="1" applyProtection="1">
      <alignment vertical="top"/>
    </xf>
    <xf numFmtId="0" fontId="33" fillId="6" borderId="2" xfId="0" applyFont="1" applyFill="1" applyBorder="1" applyAlignment="1" applyProtection="1">
      <alignment vertical="top"/>
    </xf>
    <xf numFmtId="0" fontId="34" fillId="6" borderId="11" xfId="0" applyFont="1" applyFill="1" applyBorder="1" applyAlignment="1" applyProtection="1">
      <alignment vertical="top"/>
    </xf>
    <xf numFmtId="0" fontId="48" fillId="6" borderId="12" xfId="0" applyFont="1" applyFill="1" applyBorder="1" applyAlignment="1" applyProtection="1">
      <alignment horizontal="center" vertical="top"/>
    </xf>
    <xf numFmtId="0" fontId="49" fillId="6" borderId="2" xfId="0" applyFont="1" applyFill="1" applyBorder="1" applyAlignment="1" applyProtection="1">
      <alignment vertical="top"/>
    </xf>
    <xf numFmtId="0" fontId="45" fillId="4" borderId="0" xfId="0" applyFont="1" applyFill="1"/>
    <xf numFmtId="0" fontId="33" fillId="6" borderId="6" xfId="0" applyFont="1" applyFill="1" applyBorder="1" applyAlignment="1" applyProtection="1">
      <alignment vertical="top"/>
    </xf>
    <xf numFmtId="0" fontId="37" fillId="6" borderId="2" xfId="0" applyFont="1" applyFill="1" applyBorder="1" applyAlignment="1" applyProtection="1">
      <alignment vertical="top"/>
    </xf>
    <xf numFmtId="0" fontId="33" fillId="6" borderId="5" xfId="0" applyFont="1" applyFill="1" applyBorder="1" applyAlignment="1" applyProtection="1">
      <alignment vertical="top"/>
    </xf>
    <xf numFmtId="0" fontId="50" fillId="4" borderId="0" xfId="0" applyFont="1" applyFill="1" applyAlignment="1"/>
    <xf numFmtId="0" fontId="50" fillId="4" borderId="0" xfId="0" applyFont="1" applyFill="1" applyBorder="1" applyAlignment="1"/>
    <xf numFmtId="0" fontId="6" fillId="6" borderId="0" xfId="0" applyFont="1" applyFill="1" applyBorder="1" applyAlignment="1">
      <alignment vertical="top" wrapText="1"/>
    </xf>
    <xf numFmtId="0" fontId="6" fillId="4" borderId="0" xfId="0" applyFont="1" applyFill="1" applyBorder="1" applyAlignment="1">
      <alignment vertical="top" wrapText="1"/>
    </xf>
    <xf numFmtId="0" fontId="6" fillId="4" borderId="0" xfId="0" applyFont="1" applyFill="1" applyBorder="1" applyAlignment="1"/>
    <xf numFmtId="0" fontId="46" fillId="6" borderId="0" xfId="0" applyFont="1" applyFill="1" applyBorder="1"/>
    <xf numFmtId="0" fontId="6" fillId="6" borderId="0" xfId="0" applyFont="1" applyFill="1" applyBorder="1" applyAlignment="1"/>
    <xf numFmtId="0" fontId="44" fillId="4" borderId="0" xfId="0" applyFont="1" applyFill="1" applyBorder="1" applyAlignment="1" applyProtection="1">
      <alignment vertical="top"/>
    </xf>
    <xf numFmtId="0" fontId="51" fillId="4" borderId="0" xfId="0" applyFont="1" applyFill="1" applyBorder="1" applyAlignment="1" applyProtection="1">
      <alignment vertical="top"/>
    </xf>
    <xf numFmtId="0" fontId="31" fillId="4" borderId="0" xfId="0" applyFont="1" applyFill="1" applyBorder="1" applyAlignment="1" applyProtection="1">
      <alignment horizontal="center" vertical="top"/>
    </xf>
    <xf numFmtId="14" fontId="6" fillId="4" borderId="0" xfId="0" applyNumberFormat="1" applyFont="1" applyFill="1" applyBorder="1" applyAlignment="1" applyProtection="1">
      <alignment horizontal="center" vertical="top"/>
    </xf>
    <xf numFmtId="0" fontId="9" fillId="4" borderId="0" xfId="0" applyFont="1" applyFill="1" applyBorder="1" applyAlignment="1" applyProtection="1">
      <alignment vertical="top"/>
    </xf>
    <xf numFmtId="0" fontId="41" fillId="4" borderId="0" xfId="0" applyFont="1" applyFill="1" applyBorder="1" applyAlignment="1" applyProtection="1">
      <alignment vertical="top"/>
    </xf>
    <xf numFmtId="0" fontId="39" fillId="4" borderId="0" xfId="0" applyFont="1" applyFill="1" applyBorder="1" applyAlignment="1" applyProtection="1">
      <alignment vertical="top"/>
    </xf>
    <xf numFmtId="0" fontId="20" fillId="4" borderId="0" xfId="0" applyFont="1" applyFill="1" applyBorder="1" applyAlignment="1" applyProtection="1">
      <alignment vertical="top"/>
    </xf>
    <xf numFmtId="0" fontId="36" fillId="4" borderId="0" xfId="0" applyFont="1" applyFill="1" applyAlignment="1"/>
    <xf numFmtId="0" fontId="20" fillId="6" borderId="0" xfId="0" applyFont="1" applyFill="1" applyBorder="1"/>
    <xf numFmtId="0" fontId="20" fillId="6" borderId="0" xfId="0" applyFont="1" applyFill="1" applyBorder="1" applyAlignment="1">
      <alignment vertical="top"/>
    </xf>
    <xf numFmtId="0" fontId="9" fillId="6" borderId="0" xfId="0" applyFont="1" applyFill="1" applyBorder="1"/>
    <xf numFmtId="0" fontId="20" fillId="6" borderId="0" xfId="0" quotePrefix="1" applyFont="1" applyFill="1" applyBorder="1"/>
    <xf numFmtId="0" fontId="52" fillId="4" borderId="0" xfId="0" applyFont="1" applyFill="1" applyBorder="1" applyAlignment="1" applyProtection="1">
      <alignment vertical="top"/>
    </xf>
    <xf numFmtId="0" fontId="52" fillId="2" borderId="0" xfId="0" applyFont="1" applyFill="1" applyBorder="1" applyAlignment="1" applyProtection="1">
      <alignment vertical="top"/>
    </xf>
    <xf numFmtId="0" fontId="44" fillId="6" borderId="0" xfId="0" applyFont="1" applyFill="1" applyBorder="1" applyAlignment="1" applyProtection="1">
      <alignment vertical="top"/>
    </xf>
    <xf numFmtId="0" fontId="13" fillId="6" borderId="0" xfId="0" applyFont="1" applyFill="1" applyBorder="1" applyAlignment="1" applyProtection="1">
      <alignment vertical="top"/>
    </xf>
    <xf numFmtId="0" fontId="54" fillId="4" borderId="0" xfId="0" applyFont="1" applyFill="1"/>
    <xf numFmtId="165" fontId="48" fillId="6" borderId="0" xfId="0" applyNumberFormat="1" applyFont="1" applyFill="1" applyBorder="1" applyAlignment="1" applyProtection="1">
      <alignment horizontal="center" vertical="top"/>
      <protection locked="0"/>
    </xf>
    <xf numFmtId="175" fontId="33" fillId="6" borderId="0" xfId="5" applyNumberFormat="1" applyFont="1" applyFill="1" applyBorder="1" applyAlignment="1" applyProtection="1">
      <alignment horizontal="left"/>
      <protection locked="0"/>
    </xf>
    <xf numFmtId="0" fontId="33" fillId="6" borderId="0" xfId="0" applyFont="1" applyFill="1" applyBorder="1" applyAlignment="1" applyProtection="1">
      <alignment vertical="top"/>
    </xf>
    <xf numFmtId="0" fontId="50" fillId="4" borderId="0" xfId="0" applyFont="1" applyFill="1" applyBorder="1" applyAlignment="1" applyProtection="1">
      <alignment vertical="top"/>
    </xf>
    <xf numFmtId="0" fontId="56" fillId="4" borderId="0" xfId="0" applyFont="1" applyFill="1" applyBorder="1" applyAlignment="1" applyProtection="1">
      <alignment vertical="top"/>
    </xf>
    <xf numFmtId="0" fontId="55" fillId="4" borderId="0" xfId="0" applyFont="1" applyFill="1" applyBorder="1" applyAlignment="1" applyProtection="1">
      <alignment horizontal="left" vertical="top"/>
    </xf>
    <xf numFmtId="0" fontId="56" fillId="4" borderId="0" xfId="0" applyFont="1" applyFill="1" applyBorder="1" applyAlignment="1" applyProtection="1">
      <alignment horizontal="center" vertical="top"/>
    </xf>
    <xf numFmtId="0" fontId="55" fillId="2" borderId="0" xfId="0" applyFont="1" applyFill="1" applyBorder="1" applyAlignment="1" applyProtection="1">
      <alignment horizontal="left" vertical="top"/>
    </xf>
    <xf numFmtId="0" fontId="56" fillId="2" borderId="0" xfId="0" applyFont="1" applyFill="1" applyBorder="1" applyAlignment="1" applyProtection="1">
      <alignment vertical="top"/>
    </xf>
    <xf numFmtId="0" fontId="56" fillId="2" borderId="0" xfId="0" applyFont="1" applyFill="1" applyBorder="1" applyAlignment="1" applyProtection="1">
      <alignment horizontal="center" vertical="top"/>
    </xf>
    <xf numFmtId="0" fontId="58" fillId="4" borderId="0" xfId="0" applyFont="1" applyFill="1" applyBorder="1" applyAlignment="1" applyProtection="1">
      <alignment vertical="top"/>
    </xf>
    <xf numFmtId="0" fontId="58" fillId="4" borderId="0" xfId="0" applyFont="1" applyFill="1" applyBorder="1" applyAlignment="1" applyProtection="1">
      <alignment horizontal="center" vertical="top"/>
    </xf>
    <xf numFmtId="14" fontId="58" fillId="4" borderId="0" xfId="0" applyNumberFormat="1" applyFont="1" applyFill="1" applyBorder="1" applyAlignment="1" applyProtection="1">
      <alignment horizontal="center" vertical="top"/>
    </xf>
    <xf numFmtId="0" fontId="57" fillId="2" borderId="0" xfId="0" applyFont="1" applyFill="1" applyBorder="1" applyAlignment="1" applyProtection="1">
      <alignment vertical="top"/>
    </xf>
    <xf numFmtId="0" fontId="58" fillId="2" borderId="0" xfId="0" applyFont="1" applyFill="1" applyBorder="1" applyAlignment="1" applyProtection="1">
      <alignment vertical="top"/>
    </xf>
    <xf numFmtId="14" fontId="58" fillId="2" borderId="0" xfId="0" applyNumberFormat="1" applyFont="1" applyFill="1" applyBorder="1" applyAlignment="1" applyProtection="1">
      <alignment horizontal="center" vertical="top"/>
    </xf>
    <xf numFmtId="0" fontId="61" fillId="4" borderId="0" xfId="0" applyFont="1" applyFill="1" applyBorder="1" applyAlignment="1" applyProtection="1">
      <alignment horizontal="center" vertical="top"/>
    </xf>
    <xf numFmtId="0" fontId="62" fillId="4" borderId="0" xfId="0" applyFont="1" applyFill="1" applyBorder="1" applyAlignment="1" applyProtection="1">
      <alignment horizontal="center" vertical="top"/>
    </xf>
    <xf numFmtId="0" fontId="55" fillId="4" borderId="0" xfId="0" applyFont="1" applyFill="1" applyBorder="1" applyAlignment="1" applyProtection="1">
      <alignment horizontal="center" vertical="top"/>
    </xf>
    <xf numFmtId="0" fontId="60" fillId="6" borderId="0" xfId="0" applyFont="1" applyFill="1" applyBorder="1"/>
    <xf numFmtId="0" fontId="6" fillId="7" borderId="0" xfId="0" applyFont="1" applyFill="1" applyBorder="1"/>
    <xf numFmtId="0" fontId="6" fillId="6" borderId="0" xfId="0" applyFont="1" applyFill="1" applyBorder="1" applyAlignment="1" applyProtection="1">
      <alignment horizontal="center" vertical="center"/>
    </xf>
    <xf numFmtId="0" fontId="6" fillId="6" borderId="0" xfId="0" applyFont="1" applyFill="1" applyBorder="1" applyAlignment="1" applyProtection="1">
      <alignment vertical="center"/>
    </xf>
    <xf numFmtId="0" fontId="33" fillId="6" borderId="4" xfId="0" applyFont="1" applyFill="1" applyBorder="1" applyAlignment="1" applyProtection="1">
      <alignment vertical="top"/>
    </xf>
    <xf numFmtId="0" fontId="33" fillId="6" borderId="7" xfId="0" applyFont="1" applyFill="1" applyBorder="1" applyAlignment="1" applyProtection="1">
      <alignment vertical="top"/>
    </xf>
    <xf numFmtId="0" fontId="48" fillId="6" borderId="5" xfId="0" applyFont="1" applyFill="1" applyBorder="1" applyAlignment="1" applyProtection="1">
      <alignment horizontal="center" vertical="top"/>
    </xf>
    <xf numFmtId="0" fontId="48" fillId="6" borderId="0" xfId="0" applyFont="1" applyFill="1" applyBorder="1" applyAlignment="1" applyProtection="1">
      <alignment vertical="top"/>
    </xf>
    <xf numFmtId="0" fontId="63" fillId="4" borderId="0" xfId="0" applyFont="1" applyFill="1" applyBorder="1" applyAlignment="1" applyProtection="1">
      <alignment vertical="top"/>
    </xf>
    <xf numFmtId="0" fontId="65" fillId="6" borderId="0" xfId="0" applyFont="1" applyFill="1" applyBorder="1" applyAlignment="1" applyProtection="1">
      <alignment vertical="top"/>
    </xf>
    <xf numFmtId="0" fontId="65" fillId="4" borderId="0" xfId="0" applyFont="1" applyFill="1" applyBorder="1" applyAlignment="1" applyProtection="1">
      <alignment vertical="top"/>
    </xf>
    <xf numFmtId="0" fontId="59" fillId="6" borderId="0" xfId="0" applyFont="1" applyFill="1" applyBorder="1" applyAlignment="1" applyProtection="1">
      <alignment horizontal="center" vertical="top"/>
    </xf>
    <xf numFmtId="168" fontId="6" fillId="6" borderId="0" xfId="0" applyNumberFormat="1" applyFont="1" applyFill="1" applyBorder="1" applyAlignment="1" applyProtection="1">
      <alignment horizontal="right" vertical="top"/>
    </xf>
    <xf numFmtId="176" fontId="6" fillId="6" borderId="0" xfId="5" applyNumberFormat="1" applyFont="1" applyFill="1" applyBorder="1" applyAlignment="1" applyProtection="1">
      <alignment horizontal="left" vertical="top"/>
    </xf>
    <xf numFmtId="175" fontId="6" fillId="6" borderId="0" xfId="5" applyNumberFormat="1" applyFont="1" applyFill="1" applyBorder="1" applyAlignment="1" applyProtection="1">
      <alignment horizontal="center" vertical="top"/>
    </xf>
    <xf numFmtId="168" fontId="9" fillId="6" borderId="0" xfId="0" applyNumberFormat="1" applyFont="1" applyFill="1" applyBorder="1" applyAlignment="1" applyProtection="1">
      <alignment horizontal="right" vertical="top"/>
    </xf>
    <xf numFmtId="173" fontId="9" fillId="6" borderId="0" xfId="0" applyNumberFormat="1" applyFont="1" applyFill="1" applyBorder="1" applyAlignment="1" applyProtection="1">
      <alignment horizontal="center" vertical="center"/>
    </xf>
    <xf numFmtId="0" fontId="0" fillId="6" borderId="0" xfId="0" applyFill="1" applyBorder="1" applyAlignment="1">
      <alignment vertical="top"/>
    </xf>
    <xf numFmtId="177" fontId="48" fillId="6" borderId="0" xfId="5" applyNumberFormat="1" applyFont="1" applyFill="1" applyBorder="1" applyAlignment="1" applyProtection="1">
      <alignment horizontal="center" vertical="top"/>
    </xf>
    <xf numFmtId="176" fontId="64" fillId="6" borderId="8" xfId="5" applyNumberFormat="1" applyFont="1" applyFill="1" applyBorder="1" applyAlignment="1" applyProtection="1">
      <alignment horizontal="center" vertical="top"/>
      <protection locked="0"/>
    </xf>
    <xf numFmtId="0" fontId="10" fillId="6" borderId="0" xfId="0" applyFont="1" applyFill="1" applyBorder="1" applyAlignment="1" applyProtection="1">
      <alignment vertical="top"/>
    </xf>
    <xf numFmtId="0" fontId="63" fillId="6" borderId="0" xfId="0" applyFont="1" applyFill="1" applyBorder="1" applyAlignment="1" applyProtection="1">
      <alignment vertical="top"/>
    </xf>
    <xf numFmtId="167" fontId="6" fillId="4" borderId="0" xfId="2" applyNumberFormat="1" applyFont="1" applyFill="1" applyBorder="1" applyAlignment="1" applyProtection="1">
      <alignment horizontal="center" vertical="top"/>
    </xf>
    <xf numFmtId="0" fontId="33" fillId="4" borderId="9" xfId="0" applyFont="1" applyFill="1" applyBorder="1" applyAlignment="1" applyProtection="1">
      <alignment horizontal="center" vertical="top"/>
    </xf>
    <xf numFmtId="0" fontId="6" fillId="4" borderId="0" xfId="0" applyFont="1" applyFill="1" applyBorder="1" applyAlignment="1" applyProtection="1">
      <alignment vertical="center"/>
    </xf>
    <xf numFmtId="0" fontId="9" fillId="6" borderId="0" xfId="0" applyFont="1" applyFill="1" applyBorder="1" applyAlignment="1" applyProtection="1">
      <alignment vertical="center"/>
    </xf>
    <xf numFmtId="0" fontId="44" fillId="6" borderId="0" xfId="0" applyFont="1" applyFill="1" applyBorder="1" applyAlignment="1" applyProtection="1">
      <alignment vertical="center"/>
    </xf>
    <xf numFmtId="0" fontId="44" fillId="4" borderId="0" xfId="0" applyFont="1" applyFill="1" applyBorder="1" applyAlignment="1" applyProtection="1">
      <alignment vertical="center"/>
    </xf>
    <xf numFmtId="0" fontId="53" fillId="6" borderId="0" xfId="0" applyFont="1" applyFill="1" applyBorder="1" applyAlignment="1" applyProtection="1">
      <alignment vertical="top"/>
    </xf>
    <xf numFmtId="173" fontId="9" fillId="6" borderId="0" xfId="0" applyNumberFormat="1" applyFont="1" applyFill="1" applyBorder="1" applyAlignment="1" applyProtection="1">
      <alignment vertical="center"/>
    </xf>
    <xf numFmtId="0" fontId="62" fillId="6" borderId="0" xfId="0" applyFont="1" applyFill="1" applyBorder="1" applyAlignment="1" applyProtection="1">
      <alignment horizontal="center" vertical="top"/>
    </xf>
    <xf numFmtId="0" fontId="33" fillId="4" borderId="10" xfId="0" applyFont="1" applyFill="1" applyBorder="1" applyAlignment="1" applyProtection="1">
      <alignment horizontal="center" vertical="top"/>
    </xf>
    <xf numFmtId="173" fontId="44" fillId="4" borderId="0" xfId="0" applyNumberFormat="1" applyFont="1" applyFill="1" applyBorder="1" applyAlignment="1" applyProtection="1">
      <alignment vertical="top"/>
    </xf>
    <xf numFmtId="0" fontId="27" fillId="0" borderId="0" xfId="1" applyFont="1" applyAlignment="1" applyProtection="1">
      <alignment horizontal="left"/>
    </xf>
    <xf numFmtId="14" fontId="17" fillId="0" borderId="0" xfId="0" applyNumberFormat="1" applyFont="1" applyFill="1" applyAlignment="1" applyProtection="1">
      <alignment horizontal="left"/>
    </xf>
    <xf numFmtId="14" fontId="17" fillId="0" borderId="0" xfId="0" applyNumberFormat="1" applyFont="1" applyAlignment="1" applyProtection="1">
      <alignment horizontal="left"/>
    </xf>
    <xf numFmtId="167" fontId="9" fillId="6" borderId="0" xfId="0" applyNumberFormat="1" applyFont="1" applyFill="1" applyBorder="1" applyAlignment="1" applyProtection="1">
      <alignment horizontal="right" vertical="top"/>
    </xf>
    <xf numFmtId="167" fontId="9" fillId="6" borderId="0" xfId="0" applyNumberFormat="1" applyFont="1" applyFill="1" applyBorder="1" applyAlignment="1" applyProtection="1">
      <alignment vertical="top"/>
    </xf>
    <xf numFmtId="0" fontId="53" fillId="6" borderId="0" xfId="0" applyFont="1" applyFill="1" applyBorder="1" applyAlignment="1" applyProtection="1">
      <alignment vertical="top" wrapText="1"/>
    </xf>
    <xf numFmtId="0" fontId="67" fillId="6" borderId="0" xfId="0" applyFont="1" applyFill="1" applyBorder="1" applyAlignment="1" applyProtection="1">
      <alignment vertical="top"/>
    </xf>
    <xf numFmtId="0" fontId="68" fillId="4" borderId="0" xfId="0" applyFont="1" applyFill="1" applyBorder="1" applyAlignment="1" applyProtection="1">
      <alignment vertical="top"/>
    </xf>
    <xf numFmtId="0" fontId="68" fillId="6" borderId="0" xfId="0" applyFont="1" applyFill="1" applyBorder="1" applyAlignment="1" applyProtection="1">
      <alignment vertical="top"/>
    </xf>
    <xf numFmtId="0" fontId="44" fillId="4" borderId="0" xfId="0" applyFont="1" applyFill="1" applyBorder="1" applyAlignment="1" applyProtection="1">
      <alignment horizontal="center" vertical="top"/>
    </xf>
    <xf numFmtId="0" fontId="9" fillId="4" borderId="0" xfId="0" applyFont="1" applyFill="1" applyBorder="1" applyAlignment="1" applyProtection="1">
      <alignment vertical="center"/>
    </xf>
    <xf numFmtId="0" fontId="9" fillId="6" borderId="0" xfId="0" applyFont="1" applyFill="1" applyBorder="1" applyAlignment="1" applyProtection="1">
      <alignment horizontal="center" vertical="center"/>
    </xf>
    <xf numFmtId="0" fontId="63" fillId="6" borderId="0" xfId="0" applyFont="1" applyFill="1" applyBorder="1" applyAlignment="1" applyProtection="1">
      <alignment vertical="center"/>
    </xf>
    <xf numFmtId="0" fontId="63" fillId="4" borderId="0" xfId="0" applyFont="1" applyFill="1" applyBorder="1" applyAlignment="1" applyProtection="1">
      <alignment vertical="center"/>
    </xf>
    <xf numFmtId="167" fontId="6" fillId="6" borderId="0" xfId="2" applyNumberFormat="1" applyFont="1" applyFill="1" applyBorder="1" applyAlignment="1" applyProtection="1">
      <alignment horizontal="center" vertical="top"/>
    </xf>
    <xf numFmtId="0" fontId="6" fillId="0" borderId="0" xfId="0" applyFont="1" applyFill="1" applyBorder="1" applyAlignment="1" applyProtection="1">
      <alignment vertical="top"/>
    </xf>
    <xf numFmtId="168" fontId="9" fillId="6" borderId="0" xfId="0" applyNumberFormat="1" applyFont="1" applyFill="1" applyBorder="1" applyAlignment="1" applyProtection="1">
      <alignment horizontal="center" vertical="center"/>
    </xf>
    <xf numFmtId="0" fontId="46" fillId="2" borderId="0" xfId="0" applyFont="1" applyFill="1" applyBorder="1" applyAlignment="1" applyProtection="1">
      <alignment vertical="top"/>
    </xf>
    <xf numFmtId="0" fontId="0" fillId="4" borderId="0" xfId="0" applyFill="1" applyBorder="1" applyAlignment="1">
      <alignment horizontal="center" vertical="top"/>
    </xf>
    <xf numFmtId="0" fontId="70" fillId="0" borderId="0" xfId="0" applyFont="1" applyBorder="1" applyAlignment="1">
      <alignment vertical="top"/>
    </xf>
    <xf numFmtId="0" fontId="71" fillId="4" borderId="0" xfId="0" applyFont="1" applyFill="1" applyBorder="1"/>
    <xf numFmtId="0" fontId="33" fillId="4" borderId="22" xfId="0" applyFont="1" applyFill="1" applyBorder="1"/>
    <xf numFmtId="0" fontId="33" fillId="4" borderId="23" xfId="0" applyFont="1" applyFill="1" applyBorder="1"/>
    <xf numFmtId="0" fontId="33" fillId="4" borderId="23" xfId="0" applyFont="1" applyFill="1" applyBorder="1" applyAlignment="1">
      <alignment vertical="top"/>
    </xf>
    <xf numFmtId="0" fontId="33" fillId="4" borderId="24" xfId="0" applyFont="1" applyFill="1" applyBorder="1" applyAlignment="1">
      <alignment vertical="top"/>
    </xf>
    <xf numFmtId="0" fontId="33" fillId="4" borderId="25" xfId="0" applyFont="1" applyFill="1" applyBorder="1"/>
    <xf numFmtId="0" fontId="33" fillId="4" borderId="26" xfId="0" applyFont="1" applyFill="1" applyBorder="1" applyAlignment="1">
      <alignment vertical="top"/>
    </xf>
    <xf numFmtId="0" fontId="33" fillId="4" borderId="26" xfId="0" applyFont="1" applyFill="1" applyBorder="1"/>
    <xf numFmtId="0" fontId="45" fillId="4" borderId="26" xfId="0" applyFont="1" applyFill="1" applyBorder="1"/>
    <xf numFmtId="0" fontId="33" fillId="4" borderId="27" xfId="0" applyFont="1" applyFill="1" applyBorder="1"/>
    <xf numFmtId="0" fontId="33" fillId="4" borderId="28" xfId="0" applyFont="1" applyFill="1" applyBorder="1"/>
    <xf numFmtId="0" fontId="33" fillId="4" borderId="29" xfId="0" applyFont="1" applyFill="1" applyBorder="1"/>
    <xf numFmtId="0" fontId="33" fillId="4" borderId="24" xfId="0" applyFont="1" applyFill="1" applyBorder="1"/>
    <xf numFmtId="0" fontId="72" fillId="4" borderId="0" xfId="0" applyFont="1" applyFill="1" applyBorder="1"/>
    <xf numFmtId="0" fontId="73" fillId="6" borderId="3" xfId="0" applyFont="1" applyFill="1" applyBorder="1" applyAlignment="1" applyProtection="1">
      <alignment horizontal="center" vertical="top"/>
    </xf>
    <xf numFmtId="0" fontId="33" fillId="6" borderId="12" xfId="0" applyFont="1" applyFill="1" applyBorder="1" applyAlignment="1" applyProtection="1">
      <alignment vertical="top"/>
    </xf>
    <xf numFmtId="14" fontId="48" fillId="4" borderId="21" xfId="0" applyNumberFormat="1" applyFont="1" applyFill="1" applyBorder="1" applyAlignment="1" applyProtection="1">
      <alignment horizontal="center" vertical="top"/>
      <protection locked="0"/>
    </xf>
    <xf numFmtId="168" fontId="6" fillId="8" borderId="21" xfId="0" applyNumberFormat="1" applyFont="1" applyFill="1" applyBorder="1" applyAlignment="1" applyProtection="1">
      <alignment horizontal="center" vertical="top"/>
    </xf>
    <xf numFmtId="177" fontId="48" fillId="4" borderId="21" xfId="5" applyNumberFormat="1" applyFont="1" applyFill="1" applyBorder="1" applyAlignment="1" applyProtection="1">
      <alignment horizontal="center" vertical="top"/>
      <protection locked="0"/>
    </xf>
    <xf numFmtId="0" fontId="33" fillId="0" borderId="21" xfId="0" applyFont="1" applyBorder="1"/>
    <xf numFmtId="0" fontId="48" fillId="4" borderId="21" xfId="0" applyFont="1" applyFill="1" applyBorder="1" applyAlignment="1" applyProtection="1">
      <alignment horizontal="center" vertical="top"/>
      <protection locked="0"/>
    </xf>
    <xf numFmtId="168" fontId="6" fillId="8" borderId="21" xfId="0" applyNumberFormat="1" applyFont="1" applyFill="1" applyBorder="1" applyAlignment="1" applyProtection="1">
      <alignment horizontal="right" vertical="top"/>
    </xf>
    <xf numFmtId="165" fontId="48" fillId="4" borderId="21" xfId="0" applyNumberFormat="1" applyFont="1" applyFill="1" applyBorder="1" applyAlignment="1" applyProtection="1">
      <alignment horizontal="right" vertical="top"/>
      <protection locked="0"/>
    </xf>
    <xf numFmtId="0" fontId="48" fillId="4" borderId="32" xfId="0" applyFont="1" applyFill="1" applyBorder="1" applyAlignment="1" applyProtection="1">
      <alignment horizontal="center" vertical="top"/>
      <protection locked="0"/>
    </xf>
    <xf numFmtId="168" fontId="6" fillId="8" borderId="34" xfId="0" applyNumberFormat="1" applyFont="1" applyFill="1" applyBorder="1" applyAlignment="1" applyProtection="1">
      <alignment horizontal="right" vertical="top"/>
    </xf>
    <xf numFmtId="165" fontId="48" fillId="4" borderId="33" xfId="0" applyNumberFormat="1" applyFont="1" applyFill="1" applyBorder="1" applyAlignment="1" applyProtection="1">
      <alignment horizontal="right" vertical="top"/>
      <protection locked="0"/>
    </xf>
    <xf numFmtId="9" fontId="48" fillId="4" borderId="33" xfId="2" applyFont="1" applyFill="1" applyBorder="1" applyAlignment="1" applyProtection="1">
      <alignment horizontal="right" vertical="top"/>
      <protection locked="0"/>
    </xf>
    <xf numFmtId="9" fontId="6" fillId="8" borderId="35" xfId="2" applyFont="1" applyFill="1" applyBorder="1" applyAlignment="1" applyProtection="1">
      <alignment horizontal="right" vertical="top"/>
    </xf>
    <xf numFmtId="9" fontId="48" fillId="4" borderId="21" xfId="2" applyFont="1" applyFill="1" applyBorder="1" applyAlignment="1" applyProtection="1">
      <alignment horizontal="center" vertical="top"/>
      <protection locked="0"/>
    </xf>
    <xf numFmtId="0" fontId="33" fillId="4" borderId="21" xfId="0" applyFont="1" applyFill="1" applyBorder="1" applyAlignment="1" applyProtection="1">
      <alignment horizontal="center" vertical="top"/>
      <protection locked="0"/>
    </xf>
    <xf numFmtId="14" fontId="48" fillId="4" borderId="36" xfId="0" applyNumberFormat="1" applyFont="1" applyFill="1" applyBorder="1" applyAlignment="1" applyProtection="1">
      <alignment horizontal="center" vertical="top"/>
      <protection locked="0"/>
    </xf>
    <xf numFmtId="168" fontId="6" fillId="8" borderId="35" xfId="0" applyNumberFormat="1" applyFont="1" applyFill="1" applyBorder="1" applyAlignment="1" applyProtection="1">
      <alignment horizontal="center" vertical="top"/>
    </xf>
    <xf numFmtId="0" fontId="48" fillId="4" borderId="37" xfId="0" applyFont="1" applyFill="1" applyBorder="1" applyAlignment="1" applyProtection="1">
      <alignment horizontal="center" vertical="top"/>
      <protection locked="0"/>
    </xf>
    <xf numFmtId="0" fontId="48" fillId="4" borderId="38" xfId="0" applyFont="1" applyFill="1" applyBorder="1" applyAlignment="1" applyProtection="1">
      <alignment horizontal="center" vertical="top"/>
      <protection locked="0"/>
    </xf>
    <xf numFmtId="0" fontId="48" fillId="4" borderId="39" xfId="0" applyFont="1" applyFill="1" applyBorder="1" applyAlignment="1" applyProtection="1">
      <alignment horizontal="center" vertical="top"/>
      <protection locked="0"/>
    </xf>
    <xf numFmtId="0" fontId="48" fillId="4" borderId="40" xfId="0" applyFont="1" applyFill="1" applyBorder="1" applyAlignment="1" applyProtection="1">
      <alignment horizontal="center" vertical="top"/>
      <protection locked="0"/>
    </xf>
    <xf numFmtId="165" fontId="48" fillId="4" borderId="41" xfId="0" applyNumberFormat="1" applyFont="1" applyFill="1" applyBorder="1" applyAlignment="1" applyProtection="1">
      <alignment horizontal="right" vertical="center"/>
      <protection locked="0"/>
    </xf>
    <xf numFmtId="175" fontId="33" fillId="4" borderId="42" xfId="5" applyNumberFormat="1" applyFont="1" applyFill="1" applyBorder="1" applyAlignment="1" applyProtection="1">
      <alignment horizontal="right" vertical="center"/>
      <protection locked="0"/>
    </xf>
    <xf numFmtId="0" fontId="33" fillId="4" borderId="43" xfId="0" applyFont="1" applyFill="1" applyBorder="1" applyAlignment="1" applyProtection="1">
      <alignment horizontal="center" vertical="top"/>
      <protection locked="0"/>
    </xf>
    <xf numFmtId="0" fontId="33" fillId="4" borderId="44" xfId="0" applyFont="1" applyFill="1" applyBorder="1" applyAlignment="1" applyProtection="1">
      <alignment horizontal="center" vertical="top"/>
      <protection locked="0"/>
    </xf>
    <xf numFmtId="167" fontId="34" fillId="0" borderId="43" xfId="2" applyNumberFormat="1" applyFont="1" applyFill="1" applyBorder="1" applyAlignment="1" applyProtection="1">
      <alignment vertical="top"/>
      <protection locked="0"/>
    </xf>
    <xf numFmtId="167" fontId="34" fillId="0" borderId="44" xfId="2" applyNumberFormat="1" applyFont="1" applyFill="1" applyBorder="1" applyAlignment="1" applyProtection="1">
      <alignment vertical="top"/>
      <protection locked="0"/>
    </xf>
    <xf numFmtId="0" fontId="6" fillId="6" borderId="0" xfId="0" applyFont="1" applyFill="1" applyBorder="1" applyAlignment="1">
      <alignment wrapText="1"/>
    </xf>
    <xf numFmtId="0" fontId="72" fillId="9" borderId="0" xfId="0" applyFont="1" applyFill="1" applyBorder="1"/>
    <xf numFmtId="0" fontId="45" fillId="9" borderId="0" xfId="0" applyFont="1" applyFill="1" applyBorder="1"/>
    <xf numFmtId="0" fontId="72" fillId="4" borderId="45" xfId="0" applyFont="1" applyFill="1" applyBorder="1"/>
    <xf numFmtId="0" fontId="72" fillId="4" borderId="46" xfId="0" applyFont="1" applyFill="1" applyBorder="1"/>
    <xf numFmtId="0" fontId="72" fillId="4" borderId="47" xfId="0" applyFont="1" applyFill="1" applyBorder="1"/>
    <xf numFmtId="0" fontId="72" fillId="4" borderId="48" xfId="0" applyFont="1" applyFill="1" applyBorder="1"/>
    <xf numFmtId="0" fontId="72" fillId="4" borderId="49" xfId="0" applyFont="1" applyFill="1" applyBorder="1"/>
    <xf numFmtId="0" fontId="72" fillId="4" borderId="50" xfId="0" applyFont="1" applyFill="1" applyBorder="1"/>
    <xf numFmtId="0" fontId="72" fillId="4" borderId="51" xfId="0" applyFont="1" applyFill="1" applyBorder="1"/>
    <xf numFmtId="0" fontId="72" fillId="4" borderId="52" xfId="0" applyFont="1" applyFill="1" applyBorder="1"/>
    <xf numFmtId="0" fontId="74" fillId="4" borderId="0" xfId="0" applyFont="1" applyFill="1" applyBorder="1"/>
    <xf numFmtId="0" fontId="33" fillId="4" borderId="45" xfId="0" applyFont="1" applyFill="1" applyBorder="1"/>
    <xf numFmtId="0" fontId="33" fillId="4" borderId="46" xfId="0" applyFont="1" applyFill="1" applyBorder="1"/>
    <xf numFmtId="0" fontId="33" fillId="4" borderId="47" xfId="0" applyFont="1" applyFill="1" applyBorder="1"/>
    <xf numFmtId="0" fontId="33" fillId="4" borderId="48" xfId="0" applyFont="1" applyFill="1" applyBorder="1"/>
    <xf numFmtId="0" fontId="33" fillId="4" borderId="49" xfId="0" applyFont="1" applyFill="1" applyBorder="1"/>
    <xf numFmtId="0" fontId="33" fillId="4" borderId="50" xfId="0" applyFont="1" applyFill="1" applyBorder="1"/>
    <xf numFmtId="0" fontId="33" fillId="4" borderId="51" xfId="0" applyFont="1" applyFill="1" applyBorder="1"/>
    <xf numFmtId="0" fontId="33" fillId="4" borderId="52" xfId="0" applyFont="1" applyFill="1" applyBorder="1"/>
    <xf numFmtId="0" fontId="75" fillId="4" borderId="0" xfId="0" applyFont="1" applyFill="1" applyBorder="1" applyAlignment="1" applyProtection="1">
      <alignment vertical="top"/>
    </xf>
    <xf numFmtId="0" fontId="75" fillId="4" borderId="0" xfId="0" applyFont="1" applyFill="1" applyBorder="1" applyAlignment="1" applyProtection="1">
      <alignment horizontal="center" vertical="top"/>
    </xf>
    <xf numFmtId="0" fontId="76" fillId="4" borderId="0" xfId="0" applyFont="1" applyFill="1" applyBorder="1" applyAlignment="1" applyProtection="1">
      <alignment horizontal="center" vertical="top"/>
    </xf>
    <xf numFmtId="0" fontId="79" fillId="4" borderId="0" xfId="0" applyFont="1" applyFill="1" applyBorder="1" applyAlignment="1" applyProtection="1">
      <alignment vertical="top"/>
    </xf>
    <xf numFmtId="0" fontId="77" fillId="2" borderId="0" xfId="0" applyFont="1" applyFill="1" applyBorder="1" applyAlignment="1" applyProtection="1">
      <alignment horizontal="left" vertical="top"/>
    </xf>
    <xf numFmtId="0" fontId="79" fillId="4" borderId="0" xfId="0" applyFont="1" applyFill="1" applyBorder="1" applyAlignment="1" applyProtection="1">
      <alignment horizontal="center" vertical="top"/>
    </xf>
    <xf numFmtId="0" fontId="77" fillId="4" borderId="0" xfId="0" applyFont="1" applyFill="1" applyBorder="1" applyAlignment="1" applyProtection="1">
      <alignment horizontal="center" vertical="top"/>
    </xf>
    <xf numFmtId="0" fontId="79" fillId="2" borderId="0" xfId="0" applyFont="1" applyFill="1" applyBorder="1" applyAlignment="1" applyProtection="1">
      <alignment horizontal="center" vertical="top"/>
    </xf>
    <xf numFmtId="0" fontId="80" fillId="4" borderId="0" xfId="0" applyFont="1" applyFill="1" applyBorder="1" applyAlignment="1" applyProtection="1">
      <alignment vertical="top"/>
    </xf>
    <xf numFmtId="14" fontId="80" fillId="4" borderId="0" xfId="0" applyNumberFormat="1" applyFont="1" applyFill="1" applyBorder="1" applyAlignment="1" applyProtection="1">
      <alignment horizontal="center" vertical="top"/>
    </xf>
    <xf numFmtId="0" fontId="81" fillId="2" borderId="0" xfId="0" applyFont="1" applyFill="1" applyBorder="1" applyAlignment="1" applyProtection="1">
      <alignment vertical="top"/>
    </xf>
    <xf numFmtId="14" fontId="80" fillId="2" borderId="0" xfId="0" applyNumberFormat="1" applyFont="1" applyFill="1" applyBorder="1" applyAlignment="1" applyProtection="1">
      <alignment horizontal="center" vertical="top"/>
    </xf>
    <xf numFmtId="0" fontId="77" fillId="4" borderId="0" xfId="0" applyFont="1" applyFill="1" applyBorder="1" applyAlignment="1" applyProtection="1">
      <alignment vertical="top"/>
    </xf>
    <xf numFmtId="0" fontId="82" fillId="4" borderId="0" xfId="0" applyFont="1" applyFill="1" applyBorder="1" applyAlignment="1" applyProtection="1">
      <alignment vertical="top"/>
    </xf>
    <xf numFmtId="0" fontId="85" fillId="4" borderId="0" xfId="0" applyFont="1" applyFill="1" applyBorder="1" applyAlignment="1" applyProtection="1">
      <alignment horizontal="center" vertical="center"/>
    </xf>
    <xf numFmtId="167" fontId="76" fillId="4" borderId="0" xfId="0" applyNumberFormat="1" applyFont="1" applyFill="1" applyBorder="1" applyAlignment="1" applyProtection="1">
      <alignment horizontal="center" vertical="top"/>
    </xf>
    <xf numFmtId="0" fontId="85" fillId="4" borderId="0" xfId="0" applyFont="1" applyFill="1" applyBorder="1" applyAlignment="1" applyProtection="1">
      <alignment vertical="center"/>
    </xf>
    <xf numFmtId="0" fontId="86" fillId="4" borderId="0" xfId="0" applyFont="1" applyFill="1" applyBorder="1" applyAlignment="1" applyProtection="1">
      <alignment vertical="top"/>
    </xf>
    <xf numFmtId="0" fontId="84" fillId="4" borderId="53" xfId="0" applyFont="1" applyFill="1" applyBorder="1" applyAlignment="1" applyProtection="1">
      <alignment horizontal="center" vertical="top"/>
    </xf>
    <xf numFmtId="0" fontId="84" fillId="4" borderId="55" xfId="0" applyFont="1" applyFill="1" applyBorder="1" applyAlignment="1" applyProtection="1">
      <alignment vertical="center" wrapText="1"/>
    </xf>
    <xf numFmtId="0" fontId="87" fillId="4" borderId="0" xfId="0" applyFont="1" applyFill="1"/>
    <xf numFmtId="0" fontId="77" fillId="2" borderId="0" xfId="0" applyFont="1" applyFill="1" applyBorder="1" applyAlignment="1" applyProtection="1">
      <alignment vertical="top"/>
    </xf>
    <xf numFmtId="0" fontId="84" fillId="2" borderId="0" xfId="0" applyFont="1" applyFill="1" applyBorder="1" applyAlignment="1" applyProtection="1">
      <alignment vertical="top"/>
    </xf>
    <xf numFmtId="0" fontId="83" fillId="2" borderId="0" xfId="0" applyFont="1" applyFill="1" applyBorder="1" applyAlignment="1" applyProtection="1">
      <alignment vertical="top"/>
    </xf>
    <xf numFmtId="0" fontId="77" fillId="4" borderId="0" xfId="0" applyFont="1" applyFill="1" applyBorder="1" applyAlignment="1" applyProtection="1">
      <alignment horizontal="left" vertical="top"/>
    </xf>
    <xf numFmtId="168" fontId="6" fillId="8" borderId="53" xfId="0" applyNumberFormat="1" applyFont="1" applyFill="1" applyBorder="1" applyAlignment="1" applyProtection="1">
      <alignment horizontal="right" vertical="top"/>
    </xf>
    <xf numFmtId="168" fontId="9" fillId="8" borderId="53" xfId="0" applyNumberFormat="1" applyFont="1" applyFill="1" applyBorder="1" applyAlignment="1" applyProtection="1">
      <alignment horizontal="right" vertical="top"/>
    </xf>
    <xf numFmtId="174" fontId="40" fillId="8" borderId="53" xfId="0" applyNumberFormat="1" applyFont="1" applyFill="1" applyBorder="1" applyAlignment="1" applyProtection="1">
      <alignment horizontal="left" vertical="top"/>
      <protection locked="0"/>
    </xf>
    <xf numFmtId="177" fontId="48" fillId="8" borderId="53" xfId="5" applyNumberFormat="1" applyFont="1" applyFill="1" applyBorder="1" applyAlignment="1" applyProtection="1">
      <alignment horizontal="center" vertical="top"/>
    </xf>
    <xf numFmtId="0" fontId="43" fillId="8" borderId="53" xfId="0" applyFont="1" applyFill="1" applyBorder="1" applyAlignment="1" applyProtection="1">
      <alignment horizontal="center" vertical="top"/>
    </xf>
    <xf numFmtId="165" fontId="40" fillId="8" borderId="53" xfId="0" applyNumberFormat="1" applyFont="1" applyFill="1" applyBorder="1" applyAlignment="1" applyProtection="1">
      <alignment horizontal="center" vertical="top"/>
    </xf>
    <xf numFmtId="9" fontId="40" fillId="8" borderId="53" xfId="2" applyFont="1" applyFill="1" applyBorder="1" applyAlignment="1" applyProtection="1">
      <alignment horizontal="center" vertical="top"/>
    </xf>
    <xf numFmtId="176" fontId="6" fillId="8" borderId="53" xfId="5" applyNumberFormat="1" applyFont="1" applyFill="1" applyBorder="1" applyAlignment="1" applyProtection="1">
      <alignment horizontal="left" vertical="top"/>
    </xf>
    <xf numFmtId="168" fontId="6" fillId="8" borderId="53" xfId="0" applyNumberFormat="1" applyFont="1" applyFill="1" applyBorder="1" applyAlignment="1" applyProtection="1">
      <alignment horizontal="center" vertical="top"/>
    </xf>
    <xf numFmtId="175" fontId="6" fillId="8" borderId="53" xfId="5" applyNumberFormat="1" applyFont="1" applyFill="1" applyBorder="1" applyAlignment="1" applyProtection="1">
      <alignment horizontal="center" vertical="top"/>
    </xf>
    <xf numFmtId="0" fontId="6" fillId="8" borderId="53" xfId="0" applyFont="1" applyFill="1" applyBorder="1" applyAlignment="1" applyProtection="1">
      <alignment vertical="top"/>
    </xf>
    <xf numFmtId="0" fontId="9" fillId="8" borderId="53" xfId="0" applyFont="1" applyFill="1" applyBorder="1" applyAlignment="1" applyProtection="1">
      <alignment vertical="top"/>
    </xf>
    <xf numFmtId="178" fontId="69" fillId="8" borderId="53" xfId="2" applyNumberFormat="1" applyFont="1" applyFill="1" applyBorder="1" applyAlignment="1" applyProtection="1">
      <alignment horizontal="right" vertical="top"/>
    </xf>
    <xf numFmtId="176" fontId="6" fillId="8" borderId="53" xfId="5" applyNumberFormat="1" applyFont="1" applyFill="1" applyBorder="1" applyAlignment="1" applyProtection="1">
      <alignment horizontal="center" vertical="top"/>
    </xf>
    <xf numFmtId="42" fontId="12" fillId="8" borderId="53" xfId="0" applyNumberFormat="1" applyFont="1" applyFill="1" applyBorder="1" applyAlignment="1" applyProtection="1">
      <alignment horizontal="center" vertical="top"/>
    </xf>
    <xf numFmtId="0" fontId="13" fillId="8" borderId="53" xfId="0" applyFont="1" applyFill="1" applyBorder="1" applyAlignment="1" applyProtection="1">
      <alignment vertical="top"/>
    </xf>
    <xf numFmtId="0" fontId="44" fillId="8" borderId="53" xfId="0" applyFont="1" applyFill="1" applyBorder="1" applyAlignment="1" applyProtection="1">
      <alignment vertical="top"/>
    </xf>
    <xf numFmtId="0" fontId="6" fillId="4" borderId="22" xfId="0" applyFont="1" applyFill="1" applyBorder="1"/>
    <xf numFmtId="0" fontId="6" fillId="4" borderId="23" xfId="0" applyFont="1" applyFill="1" applyBorder="1"/>
    <xf numFmtId="0" fontId="6" fillId="4" borderId="24" xfId="0" applyFont="1" applyFill="1" applyBorder="1"/>
    <xf numFmtId="0" fontId="6" fillId="4" borderId="25" xfId="0" applyFont="1" applyFill="1" applyBorder="1"/>
    <xf numFmtId="0" fontId="6" fillId="4" borderId="26" xfId="0" applyFont="1" applyFill="1" applyBorder="1"/>
    <xf numFmtId="0" fontId="47" fillId="4" borderId="26" xfId="0" applyFont="1" applyFill="1" applyBorder="1"/>
    <xf numFmtId="0" fontId="0" fillId="6" borderId="0" xfId="0" applyFill="1" applyBorder="1" applyAlignment="1"/>
    <xf numFmtId="0" fontId="6" fillId="4" borderId="27" xfId="0" applyFont="1" applyFill="1" applyBorder="1"/>
    <xf numFmtId="0" fontId="6" fillId="4" borderId="28" xfId="0" applyFont="1" applyFill="1" applyBorder="1"/>
    <xf numFmtId="0" fontId="6" fillId="4" borderId="29" xfId="0" applyFont="1" applyFill="1" applyBorder="1"/>
    <xf numFmtId="0" fontId="6" fillId="8" borderId="0" xfId="0" applyFont="1" applyFill="1" applyBorder="1" applyAlignment="1"/>
    <xf numFmtId="0" fontId="0" fillId="8" borderId="0" xfId="0" applyFill="1" applyBorder="1" applyAlignment="1"/>
    <xf numFmtId="0" fontId="6" fillId="8" borderId="0" xfId="0" quotePrefix="1" applyFont="1" applyFill="1" applyBorder="1"/>
    <xf numFmtId="0" fontId="6" fillId="8" borderId="0" xfId="0" applyFont="1" applyFill="1" applyBorder="1"/>
    <xf numFmtId="0" fontId="6" fillId="8" borderId="1" xfId="0" applyFont="1" applyFill="1" applyBorder="1" applyAlignment="1">
      <alignment vertical="center"/>
    </xf>
    <xf numFmtId="0" fontId="91" fillId="4" borderId="0" xfId="0" applyFont="1" applyFill="1" applyAlignment="1"/>
    <xf numFmtId="0" fontId="89" fillId="4" borderId="0" xfId="0" applyFont="1" applyFill="1" applyBorder="1" applyAlignment="1"/>
    <xf numFmtId="0" fontId="75" fillId="4" borderId="0" xfId="0" applyFont="1" applyFill="1" applyBorder="1" applyAlignment="1">
      <alignment vertical="top" wrapText="1"/>
    </xf>
    <xf numFmtId="0" fontId="85" fillId="6" borderId="0" xfId="0" applyFont="1" applyFill="1" applyBorder="1"/>
    <xf numFmtId="0" fontId="50" fillId="4" borderId="23" xfId="0" applyFont="1" applyFill="1" applyBorder="1" applyAlignment="1"/>
    <xf numFmtId="0" fontId="33" fillId="4" borderId="0" xfId="0" applyFont="1" applyFill="1" applyAlignment="1">
      <alignment horizontal="center" vertical="top"/>
    </xf>
    <xf numFmtId="0" fontId="93" fillId="4" borderId="0" xfId="0" applyFont="1" applyFill="1" applyAlignment="1">
      <alignment vertical="top"/>
    </xf>
    <xf numFmtId="0" fontId="96" fillId="4" borderId="0" xfId="0" applyFont="1" applyFill="1" applyAlignment="1">
      <alignment vertical="top"/>
    </xf>
    <xf numFmtId="0" fontId="96" fillId="2" borderId="0" xfId="0" applyFont="1" applyFill="1" applyAlignment="1">
      <alignment vertical="top"/>
    </xf>
    <xf numFmtId="0" fontId="96" fillId="2" borderId="0" xfId="0" applyFont="1" applyFill="1" applyAlignment="1">
      <alignment horizontal="center" vertical="top"/>
    </xf>
    <xf numFmtId="0" fontId="98" fillId="4" borderId="0" xfId="0" applyFont="1" applyFill="1" applyAlignment="1">
      <alignment vertical="top"/>
    </xf>
    <xf numFmtId="0" fontId="33" fillId="2" borderId="0" xfId="0" applyFont="1" applyFill="1" applyAlignment="1">
      <alignment vertical="top"/>
    </xf>
    <xf numFmtId="0" fontId="11" fillId="4" borderId="0" xfId="0" applyFont="1" applyFill="1" applyAlignment="1">
      <alignment vertical="top"/>
    </xf>
    <xf numFmtId="0" fontId="11" fillId="6" borderId="0" xfId="0" applyFont="1" applyFill="1" applyAlignment="1">
      <alignment vertical="top"/>
    </xf>
    <xf numFmtId="0" fontId="33" fillId="6" borderId="0" xfId="0" applyFont="1" applyFill="1" applyAlignment="1">
      <alignment vertical="top"/>
    </xf>
    <xf numFmtId="0" fontId="48" fillId="6" borderId="0" xfId="0" applyFont="1" applyFill="1" applyAlignment="1">
      <alignment horizontal="center" vertical="top"/>
    </xf>
    <xf numFmtId="0" fontId="99" fillId="4" borderId="0" xfId="0" applyFont="1" applyFill="1" applyAlignment="1">
      <alignment vertical="top"/>
    </xf>
    <xf numFmtId="0" fontId="37" fillId="6" borderId="0" xfId="0" applyFont="1" applyFill="1" applyAlignment="1">
      <alignment vertical="top"/>
    </xf>
    <xf numFmtId="0" fontId="70" fillId="6" borderId="0" xfId="0" applyFont="1" applyFill="1" applyAlignment="1">
      <alignment horizontal="left" vertical="top"/>
    </xf>
    <xf numFmtId="0" fontId="33" fillId="6" borderId="0" xfId="0" applyFont="1" applyFill="1" applyAlignment="1">
      <alignment horizontal="center" vertical="top"/>
    </xf>
    <xf numFmtId="174" fontId="48" fillId="8" borderId="60" xfId="0" applyNumberFormat="1" applyFont="1" applyFill="1" applyBorder="1" applyAlignment="1" applyProtection="1">
      <alignment horizontal="left" vertical="top"/>
      <protection locked="0"/>
    </xf>
    <xf numFmtId="0" fontId="100" fillId="8" borderId="60" xfId="0" applyFont="1" applyFill="1" applyBorder="1" applyAlignment="1">
      <alignment horizontal="center" vertical="top"/>
    </xf>
    <xf numFmtId="165" fontId="48" fillId="8" borderId="60" xfId="0" applyNumberFormat="1" applyFont="1" applyFill="1" applyBorder="1" applyAlignment="1">
      <alignment horizontal="center" vertical="top"/>
    </xf>
    <xf numFmtId="9" fontId="48" fillId="8" borderId="60" xfId="2" applyFont="1" applyFill="1" applyBorder="1" applyAlignment="1" applyProtection="1">
      <alignment horizontal="center" vertical="top"/>
    </xf>
    <xf numFmtId="171" fontId="73" fillId="4" borderId="60" xfId="0" applyNumberFormat="1" applyFont="1" applyFill="1" applyBorder="1" applyAlignment="1">
      <alignment horizontal="center" vertical="top"/>
    </xf>
    <xf numFmtId="0" fontId="73" fillId="4" borderId="60" xfId="0" applyFont="1" applyFill="1" applyBorder="1" applyAlignment="1">
      <alignment horizontal="center" vertical="top"/>
    </xf>
    <xf numFmtId="168" fontId="33" fillId="8" borderId="60" xfId="0" applyNumberFormat="1" applyFont="1" applyFill="1" applyBorder="1" applyAlignment="1">
      <alignment horizontal="right" vertical="top"/>
    </xf>
    <xf numFmtId="0" fontId="64" fillId="6" borderId="0" xfId="0" applyFont="1" applyFill="1" applyAlignment="1">
      <alignment horizontal="center" vertical="top"/>
    </xf>
    <xf numFmtId="176" fontId="33" fillId="8" borderId="60" xfId="5" applyNumberFormat="1" applyFont="1" applyFill="1" applyBorder="1" applyAlignment="1" applyProtection="1">
      <alignment horizontal="center" vertical="top"/>
    </xf>
    <xf numFmtId="176" fontId="33" fillId="8" borderId="60" xfId="5" applyNumberFormat="1" applyFont="1" applyFill="1" applyBorder="1" applyAlignment="1" applyProtection="1">
      <alignment horizontal="left" vertical="top"/>
    </xf>
    <xf numFmtId="0" fontId="101" fillId="6" borderId="0" xfId="0" applyFont="1" applyFill="1" applyAlignment="1">
      <alignment horizontal="center" vertical="top"/>
    </xf>
    <xf numFmtId="168" fontId="33" fillId="8" borderId="60" xfId="0" applyNumberFormat="1" applyFont="1" applyFill="1" applyBorder="1" applyAlignment="1">
      <alignment horizontal="center" vertical="top"/>
    </xf>
    <xf numFmtId="0" fontId="93" fillId="6" borderId="0" xfId="0" applyFont="1" applyFill="1" applyAlignment="1">
      <alignment horizontal="center" vertical="top"/>
    </xf>
    <xf numFmtId="175" fontId="33" fillId="8" borderId="60" xfId="5" applyNumberFormat="1" applyFont="1" applyFill="1" applyBorder="1" applyAlignment="1" applyProtection="1">
      <alignment horizontal="center" vertical="top"/>
    </xf>
    <xf numFmtId="0" fontId="64" fillId="6" borderId="0" xfId="0" applyFont="1" applyFill="1" applyAlignment="1">
      <alignment vertical="top"/>
    </xf>
    <xf numFmtId="0" fontId="64" fillId="4" borderId="0" xfId="0" applyFont="1" applyFill="1" applyAlignment="1">
      <alignment vertical="top"/>
    </xf>
    <xf numFmtId="165" fontId="64" fillId="6" borderId="0" xfId="0" applyNumberFormat="1" applyFont="1" applyFill="1" applyAlignment="1">
      <alignment horizontal="center" vertical="top"/>
    </xf>
    <xf numFmtId="170" fontId="37" fillId="8" borderId="60" xfId="0" applyNumberFormat="1" applyFont="1" applyFill="1" applyBorder="1" applyAlignment="1">
      <alignment horizontal="center" vertical="top"/>
    </xf>
    <xf numFmtId="0" fontId="37" fillId="6" borderId="0" xfId="0" applyFont="1" applyFill="1" applyAlignment="1">
      <alignment horizontal="center" vertical="top"/>
    </xf>
    <xf numFmtId="168" fontId="33" fillId="6" borderId="0" xfId="0" applyNumberFormat="1" applyFont="1" applyFill="1" applyAlignment="1">
      <alignment horizontal="center" vertical="top"/>
    </xf>
    <xf numFmtId="173" fontId="33" fillId="8" borderId="60" xfId="5" applyNumberFormat="1" applyFont="1" applyFill="1" applyBorder="1" applyAlignment="1" applyProtection="1">
      <alignment horizontal="center" vertical="top"/>
    </xf>
    <xf numFmtId="173" fontId="33" fillId="8" borderId="60" xfId="2" applyNumberFormat="1" applyFont="1" applyFill="1" applyBorder="1" applyAlignment="1" applyProtection="1">
      <alignment horizontal="center" vertical="top"/>
    </xf>
    <xf numFmtId="168" fontId="37" fillId="8" borderId="60" xfId="0" applyNumberFormat="1" applyFont="1" applyFill="1" applyBorder="1" applyAlignment="1">
      <alignment horizontal="center" vertical="top"/>
    </xf>
    <xf numFmtId="173" fontId="33" fillId="8" borderId="61" xfId="5" applyNumberFormat="1" applyFont="1" applyFill="1" applyBorder="1" applyAlignment="1" applyProtection="1">
      <alignment horizontal="center" vertical="top"/>
    </xf>
    <xf numFmtId="173" fontId="33" fillId="8" borderId="63" xfId="5" applyNumberFormat="1" applyFont="1" applyFill="1" applyBorder="1" applyAlignment="1" applyProtection="1">
      <alignment horizontal="center" vertical="top"/>
    </xf>
    <xf numFmtId="173" fontId="37" fillId="8" borderId="60" xfId="5" applyNumberFormat="1" applyFont="1" applyFill="1" applyBorder="1" applyAlignment="1" applyProtection="1">
      <alignment horizontal="center" vertical="top"/>
    </xf>
    <xf numFmtId="168" fontId="102" fillId="8" borderId="60" xfId="0" applyNumberFormat="1" applyFont="1" applyFill="1" applyBorder="1" applyAlignment="1">
      <alignment horizontal="center" vertical="top"/>
    </xf>
    <xf numFmtId="173" fontId="33" fillId="8" borderId="64" xfId="5" applyNumberFormat="1" applyFont="1" applyFill="1" applyBorder="1" applyAlignment="1" applyProtection="1">
      <alignment horizontal="center" vertical="top"/>
    </xf>
    <xf numFmtId="173" fontId="37" fillId="8" borderId="60" xfId="0" applyNumberFormat="1" applyFont="1" applyFill="1" applyBorder="1" applyAlignment="1">
      <alignment horizontal="center" vertical="top"/>
    </xf>
    <xf numFmtId="173" fontId="37" fillId="6" borderId="0" xfId="5" applyNumberFormat="1" applyFont="1" applyFill="1" applyBorder="1" applyAlignment="1" applyProtection="1">
      <alignment horizontal="center" vertical="top"/>
    </xf>
    <xf numFmtId="173" fontId="37" fillId="6" borderId="0" xfId="0" applyNumberFormat="1" applyFont="1" applyFill="1" applyAlignment="1">
      <alignment horizontal="center" vertical="top"/>
    </xf>
    <xf numFmtId="0" fontId="103" fillId="6" borderId="0" xfId="0" applyFont="1" applyFill="1" applyAlignment="1">
      <alignment horizontal="center" vertical="top"/>
    </xf>
    <xf numFmtId="0" fontId="64" fillId="4" borderId="0" xfId="0" applyFont="1" applyFill="1" applyAlignment="1">
      <alignment horizontal="center" vertical="top"/>
    </xf>
    <xf numFmtId="0" fontId="36" fillId="4" borderId="0" xfId="0" applyFont="1" applyFill="1" applyAlignment="1">
      <alignment vertical="top"/>
    </xf>
    <xf numFmtId="0" fontId="99" fillId="6" borderId="0" xfId="0" applyFont="1" applyFill="1" applyAlignment="1">
      <alignment vertical="top"/>
    </xf>
    <xf numFmtId="0" fontId="97" fillId="4" borderId="0" xfId="0" applyFont="1" applyFill="1" applyAlignment="1">
      <alignment vertical="top"/>
    </xf>
    <xf numFmtId="171" fontId="73" fillId="4" borderId="0" xfId="0" applyNumberFormat="1" applyFont="1" applyFill="1" applyAlignment="1">
      <alignment horizontal="center" vertical="top"/>
    </xf>
    <xf numFmtId="0" fontId="73" fillId="4" borderId="0" xfId="0" applyFont="1" applyFill="1" applyAlignment="1">
      <alignment horizontal="center" vertical="top"/>
    </xf>
    <xf numFmtId="0" fontId="33" fillId="2" borderId="0" xfId="0" applyFont="1" applyFill="1" applyAlignment="1">
      <alignment horizontal="center" vertical="top"/>
    </xf>
    <xf numFmtId="171" fontId="73" fillId="4" borderId="62" xfId="0" applyNumberFormat="1" applyFont="1" applyFill="1" applyBorder="1" applyAlignment="1">
      <alignment horizontal="center" vertical="top"/>
    </xf>
    <xf numFmtId="0" fontId="104" fillId="6" borderId="60" xfId="0" applyFont="1" applyFill="1" applyBorder="1" applyAlignment="1">
      <alignment horizontal="center" vertical="top"/>
    </xf>
    <xf numFmtId="171" fontId="73" fillId="4" borderId="63" xfId="0" applyNumberFormat="1" applyFont="1" applyFill="1" applyBorder="1" applyAlignment="1">
      <alignment horizontal="center" vertical="top"/>
    </xf>
    <xf numFmtId="165" fontId="33" fillId="6" borderId="0" xfId="0" applyNumberFormat="1" applyFont="1" applyFill="1" applyAlignment="1">
      <alignment horizontal="center" vertical="top"/>
    </xf>
    <xf numFmtId="0" fontId="93" fillId="6" borderId="0" xfId="0" applyFont="1" applyFill="1" applyAlignment="1">
      <alignment vertical="top"/>
    </xf>
    <xf numFmtId="0" fontId="1" fillId="9" borderId="0" xfId="0" applyFont="1" applyFill="1" applyBorder="1"/>
    <xf numFmtId="0" fontId="105" fillId="9" borderId="0" xfId="0" applyFont="1" applyFill="1" applyBorder="1" applyAlignment="1">
      <alignment vertical="top" wrapText="1"/>
    </xf>
    <xf numFmtId="0" fontId="95" fillId="9" borderId="0" xfId="0" applyFont="1" applyFill="1" applyBorder="1" applyAlignment="1">
      <alignment wrapText="1"/>
    </xf>
    <xf numFmtId="0" fontId="96" fillId="4" borderId="0" xfId="0" applyFont="1" applyFill="1" applyBorder="1" applyAlignment="1" applyProtection="1">
      <alignment vertical="top"/>
    </xf>
    <xf numFmtId="0" fontId="96" fillId="4" borderId="0" xfId="0" applyFont="1" applyFill="1" applyBorder="1" applyAlignment="1" applyProtection="1">
      <alignment horizontal="center" vertical="top"/>
    </xf>
    <xf numFmtId="0" fontId="106" fillId="2" borderId="0" xfId="0" applyFont="1" applyFill="1" applyBorder="1" applyAlignment="1" applyProtection="1">
      <alignment vertical="top"/>
    </xf>
    <xf numFmtId="0" fontId="106" fillId="4" borderId="0" xfId="0" applyFont="1" applyFill="1" applyBorder="1" applyAlignment="1" applyProtection="1">
      <alignment vertical="top"/>
    </xf>
    <xf numFmtId="0" fontId="33" fillId="6" borderId="0" xfId="0" applyFont="1" applyFill="1" applyBorder="1" applyAlignment="1" applyProtection="1">
      <alignment horizontal="center" vertical="top"/>
    </xf>
    <xf numFmtId="0" fontId="37" fillId="6" borderId="0" xfId="0" applyFont="1" applyFill="1" applyBorder="1" applyAlignment="1" applyProtection="1">
      <alignment vertical="top"/>
    </xf>
    <xf numFmtId="0" fontId="107" fillId="6" borderId="0" xfId="0" applyFont="1" applyFill="1" applyBorder="1" applyAlignment="1" applyProtection="1">
      <alignment horizontal="center" vertical="top"/>
    </xf>
    <xf numFmtId="0" fontId="102" fillId="6" borderId="0" xfId="0" applyFont="1" applyFill="1" applyBorder="1" applyAlignment="1" applyProtection="1">
      <alignment vertical="top"/>
    </xf>
    <xf numFmtId="0" fontId="37" fillId="6" borderId="0" xfId="0" applyFont="1" applyFill="1" applyBorder="1" applyAlignment="1" applyProtection="1">
      <alignment horizontal="center" vertical="top"/>
    </xf>
    <xf numFmtId="0" fontId="37" fillId="4" borderId="0" xfId="0" applyFont="1" applyFill="1"/>
    <xf numFmtId="0" fontId="97" fillId="2" borderId="0" xfId="0" applyFont="1" applyFill="1" applyBorder="1" applyAlignment="1" applyProtection="1">
      <alignment horizontal="left" vertical="top"/>
    </xf>
    <xf numFmtId="168" fontId="33" fillId="4" borderId="0" xfId="0" applyNumberFormat="1" applyFont="1" applyFill="1"/>
    <xf numFmtId="0" fontId="70" fillId="2" borderId="0" xfId="0" applyFont="1" applyFill="1" applyBorder="1" applyAlignment="1" applyProtection="1">
      <alignment vertical="top"/>
    </xf>
    <xf numFmtId="0" fontId="108" fillId="2" borderId="0" xfId="0" applyFont="1" applyFill="1" applyBorder="1" applyAlignment="1" applyProtection="1">
      <alignment vertical="top"/>
    </xf>
    <xf numFmtId="168" fontId="33" fillId="8" borderId="60" xfId="0" applyNumberFormat="1" applyFont="1" applyFill="1" applyBorder="1" applyAlignment="1" applyProtection="1">
      <alignment horizontal="center" vertical="top"/>
    </xf>
    <xf numFmtId="168" fontId="37" fillId="8" borderId="60" xfId="0" applyNumberFormat="1" applyFont="1" applyFill="1" applyBorder="1" applyAlignment="1" applyProtection="1">
      <alignment horizontal="center" vertical="top"/>
    </xf>
    <xf numFmtId="173" fontId="94" fillId="8" borderId="60" xfId="0" applyNumberFormat="1" applyFont="1" applyFill="1" applyBorder="1" applyAlignment="1" applyProtection="1">
      <alignment horizontal="center" vertical="top"/>
    </xf>
    <xf numFmtId="173" fontId="105" fillId="8" borderId="60" xfId="0" applyNumberFormat="1" applyFont="1" applyFill="1" applyBorder="1" applyAlignment="1" applyProtection="1">
      <alignment horizontal="center" vertical="top"/>
    </xf>
    <xf numFmtId="168" fontId="34" fillId="8" borderId="60" xfId="0" applyNumberFormat="1" applyFont="1" applyFill="1" applyBorder="1" applyAlignment="1" applyProtection="1">
      <alignment horizontal="center" vertical="top"/>
    </xf>
    <xf numFmtId="168" fontId="33" fillId="8" borderId="60" xfId="0" applyNumberFormat="1" applyFont="1" applyFill="1" applyBorder="1" applyAlignment="1" applyProtection="1">
      <alignment vertical="top"/>
    </xf>
    <xf numFmtId="173" fontId="34" fillId="8" borderId="60" xfId="0" applyNumberFormat="1" applyFont="1" applyFill="1" applyBorder="1" applyAlignment="1" applyProtection="1">
      <alignment vertical="top"/>
    </xf>
    <xf numFmtId="0" fontId="70" fillId="6" borderId="0" xfId="0" applyFont="1" applyFill="1" applyBorder="1" applyAlignment="1" applyProtection="1">
      <alignment horizontal="left" vertical="top"/>
    </xf>
    <xf numFmtId="0" fontId="17" fillId="4" borderId="0" xfId="0" applyFont="1" applyFill="1" applyBorder="1" applyAlignment="1" applyProtection="1">
      <alignment horizontal="left"/>
    </xf>
    <xf numFmtId="14" fontId="17" fillId="4" borderId="18" xfId="0" applyNumberFormat="1" applyFont="1" applyFill="1" applyBorder="1"/>
    <xf numFmtId="14" fontId="17" fillId="4" borderId="17" xfId="0" applyNumberFormat="1" applyFont="1" applyFill="1" applyBorder="1"/>
    <xf numFmtId="14" fontId="17" fillId="4" borderId="19" xfId="0" applyNumberFormat="1" applyFont="1" applyFill="1" applyBorder="1"/>
    <xf numFmtId="14" fontId="17" fillId="4" borderId="16" xfId="0" applyNumberFormat="1" applyFont="1" applyFill="1" applyBorder="1"/>
    <xf numFmtId="3" fontId="17" fillId="0" borderId="0" xfId="0" applyNumberFormat="1" applyFont="1" applyFill="1" applyBorder="1" applyAlignment="1" applyProtection="1">
      <alignment horizontal="left"/>
    </xf>
    <xf numFmtId="3" fontId="17" fillId="0" borderId="0" xfId="0" applyNumberFormat="1" applyFont="1" applyFill="1" applyBorder="1" applyAlignment="1" applyProtection="1">
      <alignment horizontal="center"/>
    </xf>
    <xf numFmtId="3" fontId="17" fillId="0" borderId="13" xfId="0" applyNumberFormat="1" applyFont="1" applyFill="1" applyBorder="1" applyAlignment="1" applyProtection="1">
      <alignment horizontal="left"/>
    </xf>
    <xf numFmtId="0" fontId="17" fillId="4" borderId="0" xfId="0" applyFont="1" applyFill="1" applyBorder="1" applyAlignment="1" applyProtection="1">
      <alignment vertical="top"/>
    </xf>
    <xf numFmtId="0" fontId="21" fillId="0" borderId="0" xfId="0" applyFont="1" applyAlignment="1">
      <alignment horizontal="center" vertical="center" wrapText="1"/>
    </xf>
    <xf numFmtId="0" fontId="17" fillId="0" borderId="0" xfId="0" applyFont="1" applyAlignment="1">
      <alignment vertical="center" wrapText="1"/>
    </xf>
    <xf numFmtId="0" fontId="17" fillId="0" borderId="0" xfId="0" applyFont="1"/>
    <xf numFmtId="49" fontId="17" fillId="4" borderId="0" xfId="0" applyNumberFormat="1" applyFont="1" applyFill="1" applyBorder="1" applyAlignment="1" applyProtection="1">
      <alignment horizontal="left" vertical="center"/>
    </xf>
    <xf numFmtId="0" fontId="17" fillId="4" borderId="0" xfId="0" applyFont="1" applyFill="1" applyBorder="1" applyAlignment="1" applyProtection="1">
      <alignment horizontal="left" vertical="center"/>
    </xf>
    <xf numFmtId="0" fontId="17" fillId="4" borderId="14" xfId="0" applyFont="1" applyFill="1" applyBorder="1"/>
    <xf numFmtId="0" fontId="17" fillId="4" borderId="15" xfId="0" applyFont="1" applyFill="1" applyBorder="1"/>
    <xf numFmtId="0" fontId="109" fillId="0" borderId="0" xfId="0" applyFont="1" applyAlignment="1">
      <alignment horizontal="center" vertical="center" wrapText="1"/>
    </xf>
    <xf numFmtId="0" fontId="110" fillId="0" borderId="0" xfId="0" applyFont="1" applyFill="1" applyAlignment="1" applyProtection="1">
      <alignment horizontal="left"/>
    </xf>
    <xf numFmtId="3" fontId="110" fillId="0" borderId="0" xfId="0" applyNumberFormat="1" applyFont="1" applyFill="1" applyBorder="1" applyAlignment="1" applyProtection="1">
      <alignment horizontal="center"/>
    </xf>
    <xf numFmtId="3" fontId="21" fillId="0" borderId="0" xfId="0" applyNumberFormat="1" applyFont="1" applyFill="1" applyBorder="1" applyAlignment="1" applyProtection="1">
      <alignment horizontal="left"/>
    </xf>
    <xf numFmtId="0" fontId="113" fillId="0" borderId="0" xfId="0" applyFont="1" applyAlignment="1">
      <alignment horizontal="left"/>
    </xf>
    <xf numFmtId="0" fontId="17" fillId="0" borderId="0" xfId="0" applyFont="1" applyAlignment="1">
      <alignment horizontal="left"/>
    </xf>
    <xf numFmtId="0" fontId="22" fillId="0" borderId="0" xfId="0" applyFont="1" applyAlignment="1">
      <alignment horizontal="center"/>
    </xf>
    <xf numFmtId="0" fontId="21" fillId="3" borderId="0" xfId="0" applyFont="1" applyFill="1" applyAlignment="1">
      <alignment horizontal="left"/>
    </xf>
    <xf numFmtId="0" fontId="17" fillId="3" borderId="0" xfId="0" applyFont="1" applyFill="1" applyAlignment="1">
      <alignment horizontal="left"/>
    </xf>
    <xf numFmtId="14" fontId="15" fillId="0" borderId="0" xfId="0" applyNumberFormat="1" applyFont="1"/>
    <xf numFmtId="0" fontId="21" fillId="0" borderId="0" xfId="0" applyFont="1" applyAlignment="1">
      <alignment horizontal="left"/>
    </xf>
    <xf numFmtId="0" fontId="23" fillId="0" borderId="0" xfId="0" applyFont="1" applyAlignment="1">
      <alignment horizontal="left"/>
    </xf>
    <xf numFmtId="0" fontId="17" fillId="10" borderId="0" xfId="0" applyFont="1" applyFill="1" applyAlignment="1">
      <alignment horizontal="left"/>
    </xf>
    <xf numFmtId="10" fontId="17" fillId="3" borderId="0" xfId="0" applyNumberFormat="1" applyFont="1" applyFill="1" applyAlignment="1">
      <alignment horizontal="left"/>
    </xf>
    <xf numFmtId="166" fontId="17" fillId="3" borderId="0" xfId="0" applyNumberFormat="1" applyFont="1" applyFill="1" applyAlignment="1">
      <alignment horizontal="left"/>
    </xf>
    <xf numFmtId="179" fontId="17" fillId="0" borderId="0" xfId="0" applyNumberFormat="1" applyFont="1" applyAlignment="1">
      <alignment horizontal="right"/>
    </xf>
    <xf numFmtId="0" fontId="30" fillId="0" borderId="0" xfId="0" applyFont="1" applyAlignment="1">
      <alignment horizontal="left"/>
    </xf>
    <xf numFmtId="3" fontId="17" fillId="0" borderId="0" xfId="0" applyNumberFormat="1" applyFont="1" applyAlignment="1">
      <alignment horizontal="left"/>
    </xf>
    <xf numFmtId="0" fontId="17" fillId="11" borderId="0" xfId="0" applyFont="1" applyFill="1" applyAlignment="1">
      <alignment horizontal="left"/>
    </xf>
    <xf numFmtId="10" fontId="17" fillId="5" borderId="0" xfId="0" applyNumberFormat="1" applyFont="1" applyFill="1" applyAlignment="1">
      <alignment horizontal="left"/>
    </xf>
    <xf numFmtId="9" fontId="17" fillId="0" borderId="0" xfId="0" applyNumberFormat="1" applyFont="1" applyAlignment="1">
      <alignment horizontal="left"/>
    </xf>
    <xf numFmtId="179" fontId="17" fillId="3" borderId="0" xfId="3" applyNumberFormat="1" applyFont="1" applyFill="1" applyAlignment="1" applyProtection="1">
      <alignment horizontal="right"/>
    </xf>
    <xf numFmtId="0" fontId="114" fillId="0" borderId="0" xfId="1" applyFont="1" applyAlignment="1" applyProtection="1">
      <alignment horizontal="left"/>
    </xf>
    <xf numFmtId="10" fontId="17" fillId="0" borderId="0" xfId="0" applyNumberFormat="1" applyFont="1" applyAlignment="1">
      <alignment horizontal="left"/>
    </xf>
    <xf numFmtId="179" fontId="17" fillId="0" borderId="0" xfId="3" applyNumberFormat="1" applyFont="1" applyAlignment="1" applyProtection="1">
      <alignment horizontal="right"/>
    </xf>
    <xf numFmtId="0" fontId="3" fillId="0" borderId="0" xfId="1" applyAlignment="1" applyProtection="1">
      <alignment horizontal="left"/>
    </xf>
    <xf numFmtId="49" fontId="17" fillId="0" borderId="0" xfId="0" applyNumberFormat="1" applyFont="1" applyAlignment="1">
      <alignment horizontal="center"/>
    </xf>
    <xf numFmtId="0" fontId="17" fillId="12" borderId="0" xfId="0" applyFont="1" applyFill="1" applyAlignment="1">
      <alignment horizontal="left"/>
    </xf>
    <xf numFmtId="0" fontId="66" fillId="0" borderId="0" xfId="0" applyFont="1" applyAlignment="1">
      <alignment horizontal="left"/>
    </xf>
    <xf numFmtId="0" fontId="26" fillId="0" borderId="0" xfId="0" applyFont="1" applyAlignment="1">
      <alignment horizontal="left"/>
    </xf>
    <xf numFmtId="2" fontId="17" fillId="0" borderId="0" xfId="0" applyNumberFormat="1" applyFont="1" applyAlignment="1">
      <alignment horizontal="left"/>
    </xf>
    <xf numFmtId="2" fontId="17" fillId="5" borderId="0" xfId="0" applyNumberFormat="1" applyFont="1" applyFill="1" applyAlignment="1">
      <alignment horizontal="left"/>
    </xf>
    <xf numFmtId="0" fontId="27" fillId="0" borderId="0" xfId="0" applyFont="1"/>
    <xf numFmtId="9" fontId="17" fillId="5" borderId="0" xfId="0" applyNumberFormat="1" applyFont="1" applyFill="1" applyAlignment="1">
      <alignment horizontal="left"/>
    </xf>
    <xf numFmtId="0" fontId="14" fillId="0" borderId="0" xfId="0" applyFont="1" applyAlignment="1">
      <alignment horizontal="left"/>
    </xf>
    <xf numFmtId="167" fontId="15" fillId="5" borderId="0" xfId="0" applyNumberFormat="1" applyFont="1" applyFill="1" applyAlignment="1">
      <alignment horizontal="center"/>
    </xf>
    <xf numFmtId="9" fontId="15" fillId="0" borderId="0" xfId="0" applyNumberFormat="1" applyFont="1" applyAlignment="1">
      <alignment horizontal="center"/>
    </xf>
    <xf numFmtId="0" fontId="28" fillId="0" borderId="0" xfId="0" applyFont="1" applyAlignment="1">
      <alignment horizontal="left"/>
    </xf>
    <xf numFmtId="44" fontId="28" fillId="0" borderId="0" xfId="0" applyNumberFormat="1" applyFont="1" applyAlignment="1">
      <alignment horizontal="left"/>
    </xf>
    <xf numFmtId="10" fontId="17" fillId="3" borderId="0" xfId="0" applyNumberFormat="1" applyFont="1" applyFill="1" applyAlignment="1">
      <alignment horizontal="center"/>
    </xf>
    <xf numFmtId="179" fontId="17" fillId="5" borderId="0" xfId="3" applyNumberFormat="1" applyFont="1" applyFill="1" applyAlignment="1" applyProtection="1">
      <alignment horizontal="right"/>
    </xf>
    <xf numFmtId="49" fontId="17" fillId="0" borderId="0" xfId="0" applyNumberFormat="1" applyFont="1" applyAlignment="1">
      <alignment horizontal="left"/>
    </xf>
    <xf numFmtId="49" fontId="17" fillId="4" borderId="0" xfId="0" applyNumberFormat="1" applyFont="1" applyFill="1" applyAlignment="1">
      <alignment horizontal="left"/>
    </xf>
    <xf numFmtId="0" fontId="16" fillId="0" borderId="0" xfId="0" applyFont="1" applyAlignment="1">
      <alignment horizontal="left"/>
    </xf>
    <xf numFmtId="0" fontId="29" fillId="0" borderId="0" xfId="0" applyFont="1" applyAlignment="1">
      <alignment horizontal="left"/>
    </xf>
    <xf numFmtId="0" fontId="115" fillId="0" borderId="0" xfId="4" applyFont="1" applyAlignment="1">
      <alignment horizontal="left" vertical="center"/>
    </xf>
    <xf numFmtId="169" fontId="116" fillId="0" borderId="0" xfId="4" applyNumberFormat="1" applyFont="1"/>
    <xf numFmtId="0" fontId="117" fillId="0" borderId="0" xfId="4" applyFont="1"/>
    <xf numFmtId="10" fontId="21" fillId="0" borderId="0" xfId="4" applyNumberFormat="1" applyFont="1" applyAlignment="1">
      <alignment horizontal="center" vertical="center"/>
    </xf>
    <xf numFmtId="0" fontId="17" fillId="0" borderId="0" xfId="4" applyFont="1" applyAlignment="1">
      <alignment horizontal="center" vertical="center"/>
    </xf>
    <xf numFmtId="0" fontId="17" fillId="0" borderId="0" xfId="4" applyFont="1" applyAlignment="1">
      <alignment horizontal="left" vertical="center"/>
    </xf>
    <xf numFmtId="0" fontId="21" fillId="0" borderId="0" xfId="4" applyFont="1" applyAlignment="1">
      <alignment horizontal="left" vertical="center"/>
    </xf>
    <xf numFmtId="1" fontId="21" fillId="0" borderId="0" xfId="4" applyNumberFormat="1" applyFont="1" applyAlignment="1">
      <alignment horizontal="center" vertical="center"/>
    </xf>
    <xf numFmtId="1" fontId="21" fillId="0" borderId="0" xfId="4" applyNumberFormat="1" applyFont="1" applyAlignment="1">
      <alignment horizontal="left" vertical="center"/>
    </xf>
    <xf numFmtId="0" fontId="17" fillId="0" borderId="0" xfId="4" applyFont="1" applyAlignment="1">
      <alignment horizontal="left"/>
    </xf>
    <xf numFmtId="3" fontId="17" fillId="5" borderId="0" xfId="4" applyNumberFormat="1" applyFont="1" applyFill="1" applyAlignment="1">
      <alignment horizontal="center"/>
    </xf>
    <xf numFmtId="0" fontId="17" fillId="5" borderId="0" xfId="4" applyFont="1" applyFill="1" applyAlignment="1">
      <alignment horizontal="center"/>
    </xf>
    <xf numFmtId="0" fontId="17" fillId="0" borderId="0" xfId="4" applyFont="1" applyAlignment="1">
      <alignment horizontal="center"/>
    </xf>
    <xf numFmtId="49" fontId="118" fillId="4" borderId="0" xfId="0" applyNumberFormat="1" applyFont="1" applyFill="1" applyAlignment="1" applyProtection="1">
      <alignment horizontal="center" vertical="top"/>
      <protection locked="0"/>
    </xf>
    <xf numFmtId="0" fontId="119" fillId="0" borderId="0" xfId="0" applyFont="1" applyAlignment="1">
      <alignment horizontal="center"/>
    </xf>
    <xf numFmtId="49" fontId="17" fillId="0" borderId="0" xfId="4" applyNumberFormat="1" applyFont="1" applyAlignment="1">
      <alignment horizontal="left" vertical="center"/>
    </xf>
    <xf numFmtId="3" fontId="17" fillId="0" borderId="0" xfId="4" applyNumberFormat="1" applyFont="1" applyAlignment="1">
      <alignment horizontal="center"/>
    </xf>
    <xf numFmtId="3" fontId="30" fillId="5" borderId="0" xfId="4" applyNumberFormat="1" applyFont="1" applyFill="1" applyAlignment="1">
      <alignment horizontal="center"/>
    </xf>
    <xf numFmtId="3" fontId="22" fillId="0" borderId="0" xfId="0" applyNumberFormat="1" applyFont="1" applyAlignment="1">
      <alignment horizontal="center"/>
    </xf>
    <xf numFmtId="3" fontId="120" fillId="5" borderId="0" xfId="4" applyNumberFormat="1" applyFont="1" applyFill="1" applyAlignment="1">
      <alignment horizontal="center"/>
    </xf>
    <xf numFmtId="3" fontId="21" fillId="5" borderId="0" xfId="4" applyNumberFormat="1" applyFont="1" applyFill="1" applyAlignment="1">
      <alignment horizontal="center"/>
    </xf>
    <xf numFmtId="49" fontId="33" fillId="8" borderId="60" xfId="5" applyNumberFormat="1" applyFont="1" applyFill="1" applyBorder="1" applyAlignment="1">
      <alignment horizontal="right" vertical="top"/>
    </xf>
    <xf numFmtId="0" fontId="121" fillId="6" borderId="0" xfId="0" applyFont="1" applyFill="1" applyBorder="1" applyAlignment="1" applyProtection="1">
      <alignment horizontal="center" vertical="top"/>
    </xf>
    <xf numFmtId="0" fontId="100" fillId="6" borderId="60" xfId="0" applyFont="1" applyFill="1" applyBorder="1" applyAlignment="1">
      <alignment horizontal="center" vertical="top"/>
    </xf>
    <xf numFmtId="176" fontId="6" fillId="4" borderId="20" xfId="5" applyNumberFormat="1" applyFont="1" applyFill="1" applyBorder="1" applyAlignment="1" applyProtection="1">
      <alignment horizontal="right" vertical="top"/>
    </xf>
    <xf numFmtId="180" fontId="33" fillId="8" borderId="60" xfId="3" applyNumberFormat="1" applyFont="1" applyFill="1" applyBorder="1" applyAlignment="1" applyProtection="1">
      <alignment horizontal="center" vertical="top"/>
    </xf>
    <xf numFmtId="0" fontId="0" fillId="6" borderId="0" xfId="0" applyFill="1"/>
    <xf numFmtId="170" fontId="33" fillId="8" borderId="60" xfId="0" applyNumberFormat="1" applyFont="1" applyFill="1" applyBorder="1" applyAlignment="1">
      <alignment horizontal="center" vertical="top"/>
    </xf>
    <xf numFmtId="44" fontId="37" fillId="8" borderId="60" xfId="0" applyNumberFormat="1" applyFont="1" applyFill="1" applyBorder="1" applyAlignment="1">
      <alignment horizontal="center" vertical="top"/>
    </xf>
    <xf numFmtId="44" fontId="33" fillId="8" borderId="60" xfId="0" applyNumberFormat="1" applyFont="1" applyFill="1" applyBorder="1" applyAlignment="1">
      <alignment horizontal="center" vertical="top"/>
    </xf>
    <xf numFmtId="44" fontId="33" fillId="6" borderId="0" xfId="0" applyNumberFormat="1" applyFont="1" applyFill="1" applyAlignment="1">
      <alignment horizontal="center" vertical="top"/>
    </xf>
    <xf numFmtId="44" fontId="33" fillId="6" borderId="0" xfId="0" applyNumberFormat="1" applyFont="1" applyFill="1" applyAlignment="1">
      <alignment vertical="top"/>
    </xf>
    <xf numFmtId="44" fontId="33" fillId="8" borderId="60" xfId="5" applyNumberFormat="1" applyFont="1" applyFill="1" applyBorder="1" applyAlignment="1" applyProtection="1">
      <alignment horizontal="center" vertical="top"/>
    </xf>
    <xf numFmtId="44" fontId="33" fillId="8" borderId="60" xfId="3" applyNumberFormat="1" applyFont="1" applyFill="1" applyBorder="1" applyAlignment="1" applyProtection="1">
      <alignment horizontal="center" vertical="top"/>
    </xf>
    <xf numFmtId="168" fontId="20" fillId="8" borderId="53" xfId="0" applyNumberFormat="1" applyFont="1" applyFill="1" applyBorder="1" applyAlignment="1" applyProtection="1">
      <alignment horizontal="right" vertical="top"/>
    </xf>
    <xf numFmtId="168" fontId="20" fillId="6" borderId="0" xfId="0" applyNumberFormat="1" applyFont="1" applyFill="1" applyBorder="1" applyAlignment="1" applyProtection="1">
      <alignment horizontal="right" vertical="top"/>
    </xf>
    <xf numFmtId="0" fontId="122" fillId="4" borderId="0" xfId="0" applyFont="1" applyFill="1" applyBorder="1" applyAlignment="1" applyProtection="1">
      <alignment horizontal="center" vertical="top"/>
    </xf>
    <xf numFmtId="0" fontId="123" fillId="4" borderId="0" xfId="0" applyFont="1" applyFill="1" applyBorder="1" applyAlignment="1" applyProtection="1">
      <alignment vertical="top"/>
    </xf>
    <xf numFmtId="0" fontId="123" fillId="6" borderId="0" xfId="0" applyFont="1" applyFill="1" applyBorder="1" applyAlignment="1" applyProtection="1">
      <alignment vertical="top"/>
    </xf>
    <xf numFmtId="0" fontId="0" fillId="8" borderId="0" xfId="0" applyFill="1" applyBorder="1" applyAlignment="1"/>
    <xf numFmtId="0" fontId="6" fillId="6" borderId="0" xfId="0" applyFont="1" applyFill="1" applyBorder="1" applyAlignment="1">
      <alignment wrapText="1"/>
    </xf>
    <xf numFmtId="0" fontId="17" fillId="0" borderId="13" xfId="0" applyFont="1" applyFill="1" applyBorder="1" applyAlignment="1" applyProtection="1">
      <alignment horizontal="left"/>
    </xf>
    <xf numFmtId="0" fontId="17" fillId="0" borderId="0" xfId="0" applyFont="1" applyFill="1" applyAlignment="1" applyProtection="1">
      <alignment horizontal="right"/>
    </xf>
    <xf numFmtId="0" fontId="17" fillId="0" borderId="0" xfId="0" applyFont="1" applyAlignment="1">
      <alignment horizontal="right"/>
    </xf>
    <xf numFmtId="3" fontId="109" fillId="0" borderId="13" xfId="0" applyNumberFormat="1" applyFont="1" applyFill="1" applyBorder="1" applyAlignment="1" applyProtection="1">
      <alignment horizontal="left"/>
    </xf>
    <xf numFmtId="0" fontId="17" fillId="0" borderId="13" xfId="0" applyFont="1" applyBorder="1" applyAlignment="1" applyProtection="1">
      <alignment horizontal="left"/>
    </xf>
    <xf numFmtId="3" fontId="17" fillId="13" borderId="0" xfId="4" applyNumberFormat="1" applyFont="1" applyFill="1" applyAlignment="1">
      <alignment horizontal="center"/>
    </xf>
    <xf numFmtId="0" fontId="48" fillId="4" borderId="33" xfId="0" applyFont="1" applyFill="1" applyBorder="1" applyAlignment="1" applyProtection="1">
      <alignment horizontal="center" vertical="top"/>
      <protection locked="0"/>
    </xf>
    <xf numFmtId="0" fontId="17" fillId="14" borderId="0" xfId="0" applyFont="1" applyFill="1" applyAlignment="1">
      <alignment horizontal="left"/>
    </xf>
    <xf numFmtId="179" fontId="17" fillId="14" borderId="0" xfId="0" applyNumberFormat="1" applyFont="1" applyFill="1" applyAlignment="1">
      <alignment horizontal="right"/>
    </xf>
    <xf numFmtId="179" fontId="17" fillId="14" borderId="0" xfId="3" applyNumberFormat="1" applyFont="1" applyFill="1" applyAlignment="1" applyProtection="1">
      <alignment horizontal="right"/>
    </xf>
    <xf numFmtId="0" fontId="3" fillId="0" borderId="0" xfId="1" applyAlignment="1" applyProtection="1"/>
    <xf numFmtId="0" fontId="124" fillId="0" borderId="0" xfId="0" applyFont="1"/>
    <xf numFmtId="0" fontId="21" fillId="0" borderId="0" xfId="0" applyFont="1" applyFill="1" applyAlignment="1">
      <alignment horizontal="left"/>
    </xf>
    <xf numFmtId="0" fontId="17" fillId="0" borderId="0" xfId="0" applyFont="1" applyFill="1" applyAlignment="1">
      <alignment horizontal="left"/>
    </xf>
    <xf numFmtId="174" fontId="17" fillId="0" borderId="0" xfId="0" applyNumberFormat="1" applyFont="1" applyFill="1" applyAlignment="1" applyProtection="1">
      <alignment horizontal="left"/>
    </xf>
    <xf numFmtId="0" fontId="90" fillId="8" borderId="0" xfId="0" quotePrefix="1" applyFont="1" applyFill="1" applyBorder="1" applyAlignment="1">
      <alignment vertical="top" wrapText="1"/>
    </xf>
    <xf numFmtId="0" fontId="90" fillId="8" borderId="0" xfId="0" applyFont="1" applyFill="1" applyBorder="1" applyAlignment="1">
      <alignment vertical="top" wrapText="1"/>
    </xf>
    <xf numFmtId="0" fontId="92" fillId="8" borderId="0" xfId="0" applyFont="1" applyFill="1" applyBorder="1" applyAlignment="1"/>
    <xf numFmtId="0" fontId="90" fillId="8" borderId="0" xfId="0" applyFont="1" applyFill="1" applyBorder="1" applyAlignment="1">
      <alignment wrapText="1"/>
    </xf>
    <xf numFmtId="0" fontId="90" fillId="8" borderId="0" xfId="0" applyFont="1" applyFill="1" applyBorder="1" applyAlignment="1"/>
    <xf numFmtId="0" fontId="35" fillId="4" borderId="0" xfId="0" applyFont="1" applyFill="1" applyAlignment="1"/>
    <xf numFmtId="0" fontId="6" fillId="8" borderId="0" xfId="0" applyFont="1" applyFill="1" applyBorder="1" applyAlignment="1">
      <alignment wrapText="1"/>
    </xf>
    <xf numFmtId="0" fontId="6" fillId="8" borderId="0" xfId="0" applyFont="1" applyFill="1" applyBorder="1" applyAlignment="1"/>
    <xf numFmtId="0" fontId="0" fillId="8" borderId="0" xfId="0" applyFill="1" applyBorder="1" applyAlignment="1"/>
    <xf numFmtId="0" fontId="6" fillId="6" borderId="0" xfId="0" applyFont="1" applyFill="1" applyBorder="1" applyAlignment="1">
      <alignment wrapText="1"/>
    </xf>
    <xf numFmtId="0" fontId="0" fillId="0" borderId="0" xfId="0" applyAlignment="1">
      <alignment wrapText="1"/>
    </xf>
    <xf numFmtId="0" fontId="3" fillId="8" borderId="0" xfId="1" applyFill="1" applyBorder="1" applyAlignment="1" applyProtection="1"/>
    <xf numFmtId="0" fontId="3" fillId="0" borderId="0" xfId="1" applyAlignment="1" applyProtection="1"/>
    <xf numFmtId="0" fontId="89" fillId="4" borderId="0" xfId="0" applyFont="1" applyFill="1" applyAlignment="1"/>
    <xf numFmtId="0" fontId="0" fillId="8" borderId="0" xfId="0" applyFill="1" applyBorder="1" applyAlignment="1">
      <alignment wrapText="1"/>
    </xf>
    <xf numFmtId="0" fontId="1" fillId="9" borderId="0" xfId="0" applyFont="1" applyFill="1" applyBorder="1" applyAlignment="1">
      <alignment wrapText="1"/>
    </xf>
    <xf numFmtId="0" fontId="1" fillId="9" borderId="0" xfId="0" applyFont="1" applyFill="1" applyBorder="1" applyAlignment="1">
      <alignment vertical="top" wrapText="1"/>
    </xf>
    <xf numFmtId="0" fontId="48" fillId="4" borderId="30" xfId="0" applyFont="1" applyFill="1" applyBorder="1" applyAlignment="1" applyProtection="1">
      <alignment horizontal="left" vertical="top"/>
      <protection locked="0"/>
    </xf>
    <xf numFmtId="0" fontId="33" fillId="0" borderId="31" xfId="0" applyFont="1" applyBorder="1" applyAlignment="1">
      <alignment vertical="top"/>
    </xf>
    <xf numFmtId="0" fontId="95" fillId="9" borderId="0" xfId="0" applyFont="1" applyFill="1" applyBorder="1" applyAlignment="1">
      <alignment wrapText="1"/>
    </xf>
    <xf numFmtId="168" fontId="6" fillId="8" borderId="30" xfId="0" applyNumberFormat="1" applyFont="1" applyFill="1" applyBorder="1" applyAlignment="1" applyProtection="1">
      <alignment horizontal="left" vertical="top"/>
    </xf>
    <xf numFmtId="0" fontId="0" fillId="8" borderId="31" xfId="0" applyFill="1" applyBorder="1" applyAlignment="1">
      <alignment horizontal="left" vertical="top"/>
    </xf>
    <xf numFmtId="0" fontId="105" fillId="9" borderId="0" xfId="0" applyFont="1" applyFill="1" applyBorder="1" applyAlignment="1">
      <alignment wrapText="1"/>
    </xf>
    <xf numFmtId="0" fontId="0" fillId="0" borderId="31" xfId="0" applyBorder="1" applyAlignment="1" applyProtection="1">
      <protection locked="0"/>
    </xf>
    <xf numFmtId="0" fontId="111" fillId="9" borderId="0" xfId="0" applyFont="1" applyFill="1" applyBorder="1" applyAlignment="1" applyProtection="1">
      <alignment vertical="top" wrapText="1"/>
    </xf>
    <xf numFmtId="0" fontId="112" fillId="9" borderId="0" xfId="0" applyFont="1" applyFill="1" applyAlignment="1">
      <alignment vertical="top" wrapText="1"/>
    </xf>
    <xf numFmtId="0" fontId="84" fillId="4" borderId="54" xfId="0" applyFont="1" applyFill="1" applyBorder="1" applyAlignment="1" applyProtection="1">
      <alignment horizontal="center" vertical="center"/>
    </xf>
    <xf numFmtId="0" fontId="78" fillId="4" borderId="54" xfId="0" applyFont="1" applyFill="1" applyBorder="1" applyAlignment="1">
      <alignment horizontal="center" vertical="center"/>
    </xf>
    <xf numFmtId="0" fontId="40" fillId="8" borderId="53" xfId="0" applyFont="1" applyFill="1" applyBorder="1" applyAlignment="1" applyProtection="1">
      <alignment horizontal="left" vertical="top"/>
      <protection locked="0"/>
    </xf>
    <xf numFmtId="0" fontId="0" fillId="8" borderId="53" xfId="0" applyFill="1" applyBorder="1" applyAlignment="1">
      <alignment vertical="top"/>
    </xf>
    <xf numFmtId="0" fontId="77" fillId="2" borderId="0" xfId="0" applyFont="1" applyFill="1" applyBorder="1" applyAlignment="1" applyProtection="1">
      <alignment horizontal="left" vertical="top" wrapText="1"/>
    </xf>
    <xf numFmtId="0" fontId="78" fillId="0" borderId="0" xfId="0" applyFont="1" applyAlignment="1">
      <alignment vertical="top"/>
    </xf>
    <xf numFmtId="0" fontId="40" fillId="8" borderId="53" xfId="0" applyNumberFormat="1" applyFont="1" applyFill="1" applyBorder="1" applyAlignment="1" applyProtection="1">
      <alignment horizontal="left" vertical="top"/>
      <protection locked="0"/>
    </xf>
    <xf numFmtId="0" fontId="0" fillId="8" borderId="53" xfId="0" applyNumberFormat="1" applyFill="1" applyBorder="1" applyAlignment="1">
      <alignment vertical="top"/>
    </xf>
    <xf numFmtId="0" fontId="6" fillId="8" borderId="13" xfId="0" applyFont="1" applyFill="1" applyBorder="1" applyAlignment="1" applyProtection="1">
      <alignment horizontal="center" vertical="top"/>
    </xf>
    <xf numFmtId="0" fontId="0" fillId="8" borderId="13" xfId="0" applyFill="1" applyBorder="1" applyAlignment="1">
      <alignment horizontal="center" vertical="top"/>
    </xf>
    <xf numFmtId="0" fontId="6" fillId="8" borderId="56" xfId="0" applyFont="1" applyFill="1" applyBorder="1" applyAlignment="1" applyProtection="1">
      <alignment horizontal="center" vertical="top"/>
    </xf>
    <xf numFmtId="0" fontId="0" fillId="8" borderId="57" xfId="0" applyFill="1" applyBorder="1" applyAlignment="1">
      <alignment horizontal="center" vertical="top"/>
    </xf>
    <xf numFmtId="0" fontId="84" fillId="4" borderId="53" xfId="0" applyFont="1" applyFill="1" applyBorder="1" applyAlignment="1" applyProtection="1">
      <alignment horizontal="center" vertical="top"/>
    </xf>
    <xf numFmtId="0" fontId="88" fillId="4" borderId="53" xfId="0" applyFont="1" applyFill="1" applyBorder="1" applyAlignment="1">
      <alignment horizontal="center" vertical="top"/>
    </xf>
    <xf numFmtId="171" fontId="84" fillId="4" borderId="53" xfId="0" applyNumberFormat="1" applyFont="1" applyFill="1" applyBorder="1" applyAlignment="1" applyProtection="1">
      <alignment horizontal="center" vertical="top"/>
    </xf>
    <xf numFmtId="171" fontId="88" fillId="4" borderId="53" xfId="0" applyNumberFormat="1" applyFont="1" applyFill="1" applyBorder="1" applyAlignment="1">
      <alignment horizontal="center" vertical="top"/>
    </xf>
    <xf numFmtId="0" fontId="48" fillId="8" borderId="58" xfId="0" applyFont="1" applyFill="1" applyBorder="1" applyAlignment="1" applyProtection="1">
      <alignment horizontal="left" vertical="top"/>
      <protection locked="0"/>
    </xf>
    <xf numFmtId="0" fontId="11" fillId="8" borderId="59" xfId="0" applyFont="1" applyFill="1" applyBorder="1" applyAlignment="1">
      <alignment vertical="top"/>
    </xf>
    <xf numFmtId="174" fontId="48" fillId="8" borderId="58" xfId="0" applyNumberFormat="1" applyFont="1" applyFill="1" applyBorder="1" applyAlignment="1" applyProtection="1">
      <alignment horizontal="left" vertical="top"/>
      <protection locked="0"/>
    </xf>
    <xf numFmtId="174" fontId="11" fillId="8" borderId="59" xfId="0" applyNumberFormat="1" applyFont="1" applyFill="1" applyBorder="1" applyAlignment="1">
      <alignment vertical="top"/>
    </xf>
  </cellXfs>
  <cellStyles count="6">
    <cellStyle name="Hyperlink" xfId="1" builtinId="8"/>
    <cellStyle name="Komma" xfId="5" builtinId="3"/>
    <cellStyle name="Procent" xfId="2" builtinId="5"/>
    <cellStyle name="Standaard" xfId="0" builtinId="0"/>
    <cellStyle name="Standaard 2" xfId="4"/>
    <cellStyle name="Valuta" xfId="3" builtinId="4"/>
  </cellStyles>
  <dxfs count="0"/>
  <tableStyles count="0" defaultTableStyle="TableStyleMedium9" defaultPivotStyle="PivotStyleLight16"/>
  <colors>
    <mruColors>
      <color rgb="FFFC4861"/>
      <color rgb="FF1B84BE"/>
      <color rgb="FF7B8794"/>
      <color rgb="FFEAB700"/>
      <color rgb="FF99CCFF"/>
      <color rgb="FF323F4B"/>
      <color rgb="FFF5F7FA"/>
      <color rgb="FFFFFF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http://www.arbeidsmarktplatformpo.nl/" TargetMode="External"/><Relationship Id="rId4" Type="http://schemas.openxmlformats.org/officeDocument/2006/relationships/hyperlink" Target="#Stap_1__GEGEVENS_WERKNEMER"/></Relationships>
</file>

<file path=xl/drawings/_rels/drawing2.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2.png"/><Relationship Id="rId1" Type="http://schemas.openxmlformats.org/officeDocument/2006/relationships/hyperlink" Target="http://www.arbeidsmarktplatformpo.nl/" TargetMode="External"/></Relationships>
</file>

<file path=xl/drawings/_rels/drawing3.xml.rels><?xml version="1.0" encoding="UTF-8" standalone="yes"?>
<Relationships xmlns="http://schemas.openxmlformats.org/package/2006/relationships"><Relationship Id="rId2" Type="http://schemas.openxmlformats.org/officeDocument/2006/relationships/hyperlink" Target="#Loonkosten!A1"/><Relationship Id="rId1" Type="http://schemas.openxmlformats.org/officeDocument/2006/relationships/hyperlink" Target="#Startpagina!A1"/></Relationships>
</file>

<file path=xl/drawings/_rels/drawing4.xml.rels><?xml version="1.0" encoding="UTF-8" standalone="yes"?>
<Relationships xmlns="http://schemas.openxmlformats.org/package/2006/relationships"><Relationship Id="rId3" Type="http://schemas.openxmlformats.org/officeDocument/2006/relationships/hyperlink" Target="#Inkomensgevolgen!A1"/><Relationship Id="rId2" Type="http://schemas.openxmlformats.org/officeDocument/2006/relationships/hyperlink" Target="#Startpagina!A1"/><Relationship Id="rId1" Type="http://schemas.openxmlformats.org/officeDocument/2006/relationships/hyperlink" Target="#Stap_1__GEGEVENS_WERKNEMER"/></Relationships>
</file>

<file path=xl/drawings/_rels/drawing5.xml.rels><?xml version="1.0" encoding="UTF-8" standalone="yes"?>
<Relationships xmlns="http://schemas.openxmlformats.org/package/2006/relationships"><Relationship Id="rId2" Type="http://schemas.openxmlformats.org/officeDocument/2006/relationships/hyperlink" Target="#Startpagina!A1"/><Relationship Id="rId1" Type="http://schemas.openxmlformats.org/officeDocument/2006/relationships/hyperlink" Target="#Loonkosten!A1"/></Relationships>
</file>

<file path=xl/drawings/_rels/drawing6.xml.rels><?xml version="1.0" encoding="UTF-8" standalone="yes"?>
<Relationships xmlns="http://schemas.openxmlformats.org/package/2006/relationships"><Relationship Id="rId2" Type="http://schemas.openxmlformats.org/officeDocument/2006/relationships/hyperlink" Target="#Startpagina!A1"/><Relationship Id="rId1" Type="http://schemas.openxmlformats.org/officeDocument/2006/relationships/hyperlink" Target="#WERKGEVERSLASTEN_PO_2021"/></Relationships>
</file>

<file path=xl/drawings/drawing1.xml><?xml version="1.0" encoding="utf-8"?>
<xdr:wsDr xmlns:xdr="http://schemas.openxmlformats.org/drawingml/2006/spreadsheetDrawing" xmlns:a="http://schemas.openxmlformats.org/drawingml/2006/main">
  <xdr:twoCellAnchor editAs="oneCell">
    <xdr:from>
      <xdr:col>25</xdr:col>
      <xdr:colOff>100012</xdr:colOff>
      <xdr:row>0</xdr:row>
      <xdr:rowOff>0</xdr:rowOff>
    </xdr:from>
    <xdr:to>
      <xdr:col>30</xdr:col>
      <xdr:colOff>112313</xdr:colOff>
      <xdr:row>6</xdr:row>
      <xdr:rowOff>59850</xdr:rowOff>
    </xdr:to>
    <xdr:pic>
      <xdr:nvPicPr>
        <xdr:cNvPr id="9" name="x_Afbeelding 1">
          <a:hlinkClick xmlns:r="http://schemas.openxmlformats.org/officeDocument/2006/relationships" r:id="rId1"/>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rcRect/>
        <a:stretch/>
      </xdr:blipFill>
      <xdr:spPr bwMode="auto">
        <a:xfrm>
          <a:off x="11158537" y="0"/>
          <a:ext cx="2460226" cy="1260000"/>
        </a:xfrm>
        <a:prstGeom prst="rect">
          <a:avLst/>
        </a:prstGeom>
        <a:noFill/>
        <a:ln>
          <a:noFill/>
        </a:ln>
      </xdr:spPr>
    </xdr:pic>
    <xdr:clientData/>
  </xdr:twoCellAnchor>
  <xdr:twoCellAnchor>
    <xdr:from>
      <xdr:col>16</xdr:col>
      <xdr:colOff>157163</xdr:colOff>
      <xdr:row>0</xdr:row>
      <xdr:rowOff>180975</xdr:rowOff>
    </xdr:from>
    <xdr:to>
      <xdr:col>22</xdr:col>
      <xdr:colOff>271125</xdr:colOff>
      <xdr:row>5</xdr:row>
      <xdr:rowOff>71325</xdr:rowOff>
    </xdr:to>
    <xdr:sp macro="[0]!Terug_naar_start" textlink="">
      <xdr:nvSpPr>
        <xdr:cNvPr id="5" name="Pijl-links 4">
          <a:hlinkClick xmlns:r="http://schemas.openxmlformats.org/officeDocument/2006/relationships" r:id="rId4"/>
          <a:extLst>
            <a:ext uri="{FF2B5EF4-FFF2-40B4-BE49-F238E27FC236}">
              <a16:creationId xmlns:a16="http://schemas.microsoft.com/office/drawing/2014/main" id="{00000000-0008-0000-0000-000005000000}"/>
            </a:ext>
          </a:extLst>
        </xdr:cNvPr>
        <xdr:cNvSpPr/>
      </xdr:nvSpPr>
      <xdr:spPr bwMode="auto">
        <a:xfrm flipH="1">
          <a:off x="6672263" y="180975"/>
          <a:ext cx="2700000" cy="900000"/>
        </a:xfrm>
        <a:prstGeom prst="leftArrow">
          <a:avLst/>
        </a:prstGeom>
        <a:solidFill>
          <a:srgbClr val="FC4861"/>
        </a:solidFill>
        <a:ln>
          <a:solidFill>
            <a:srgbClr val="FC4861"/>
          </a:solidFill>
          <a:headEnd type="none" w="med" len="med"/>
          <a:tailEnd type="none" w="med" len="med"/>
        </a:ln>
      </xdr:spPr>
      <xdr:style>
        <a:lnRef idx="0">
          <a:schemeClr val="accent5"/>
        </a:lnRef>
        <a:fillRef idx="3">
          <a:schemeClr val="accent5"/>
        </a:fillRef>
        <a:effectRef idx="3">
          <a:schemeClr val="accent5"/>
        </a:effectRef>
        <a:fontRef idx="minor">
          <a:schemeClr val="lt1"/>
        </a:fontRef>
      </xdr:style>
      <xdr:txBody>
        <a:bodyPr vertOverflow="clip" horzOverflow="clip" wrap="square" lIns="18288" tIns="0" rIns="0" bIns="0" rtlCol="0" anchor="ctr" upright="1"/>
        <a:lstStyle/>
        <a:p>
          <a:pPr algn="ctr"/>
          <a:r>
            <a:rPr lang="nl-NL" sz="1400" baseline="0"/>
            <a:t>N</a:t>
          </a:r>
          <a:r>
            <a:rPr lang="nl-NL" sz="1400"/>
            <a:t>aar</a:t>
          </a:r>
          <a:r>
            <a:rPr lang="nl-NL" sz="1400" baseline="0"/>
            <a:t> </a:t>
          </a:r>
          <a:r>
            <a:rPr lang="nl-NL" sz="1400" i="1"/>
            <a:t>Invoer Gegevens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240003</xdr:colOff>
      <xdr:row>0</xdr:row>
      <xdr:rowOff>0</xdr:rowOff>
    </xdr:from>
    <xdr:to>
      <xdr:col>16</xdr:col>
      <xdr:colOff>113778</xdr:colOff>
      <xdr:row>5</xdr:row>
      <xdr:rowOff>117000</xdr:rowOff>
    </xdr:to>
    <xdr:pic>
      <xdr:nvPicPr>
        <xdr:cNvPr id="5" name="x_Afbeelding 1">
          <a:hlinkClick xmlns:r="http://schemas.openxmlformats.org/officeDocument/2006/relationships" r:id="rId1"/>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rcRect/>
        <a:stretch/>
      </xdr:blipFill>
      <xdr:spPr bwMode="auto">
        <a:xfrm>
          <a:off x="8912516" y="0"/>
          <a:ext cx="2436000" cy="12600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136876</xdr:colOff>
      <xdr:row>0</xdr:row>
      <xdr:rowOff>67778</xdr:rowOff>
    </xdr:from>
    <xdr:to>
      <xdr:col>4</xdr:col>
      <xdr:colOff>365139</xdr:colOff>
      <xdr:row>5</xdr:row>
      <xdr:rowOff>62903</xdr:rowOff>
    </xdr:to>
    <xdr:sp macro="[0]!Terug_naar_start" textlink="">
      <xdr:nvSpPr>
        <xdr:cNvPr id="4" name="Pijl-links 3">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bwMode="auto">
        <a:xfrm>
          <a:off x="370239" y="67778"/>
          <a:ext cx="2700000" cy="900000"/>
        </a:xfrm>
        <a:prstGeom prst="leftArrow">
          <a:avLst/>
        </a:prstGeom>
        <a:solidFill>
          <a:srgbClr val="FC4861"/>
        </a:solidFill>
        <a:ln>
          <a:noFill/>
          <a:headEnd type="none" w="med" len="med"/>
          <a:tailEnd type="none" w="med" len="med"/>
        </a:ln>
        <a:scene3d>
          <a:camera prst="orthographicFront">
            <a:rot lat="0" lon="0" rev="0"/>
          </a:camera>
          <a:lightRig rig="threePt" dir="t">
            <a:rot lat="0" lon="0" rev="1200000"/>
          </a:lightRig>
        </a:scene3d>
      </xdr:spPr>
      <xdr:style>
        <a:lnRef idx="0">
          <a:schemeClr val="accent5"/>
        </a:lnRef>
        <a:fillRef idx="3">
          <a:schemeClr val="accent5"/>
        </a:fillRef>
        <a:effectRef idx="3">
          <a:schemeClr val="accent5"/>
        </a:effectRef>
        <a:fontRef idx="minor">
          <a:schemeClr val="lt1"/>
        </a:fontRef>
      </xdr:style>
      <xdr:txBody>
        <a:bodyPr vertOverflow="clip" horzOverflow="clip" wrap="square" lIns="18288" tIns="0" rIns="0" bIns="0" rtlCol="0" anchor="ctr" upright="1"/>
        <a:lstStyle/>
        <a:p>
          <a:pPr algn="ctr"/>
          <a:r>
            <a:rPr lang="nl-NL" sz="1400"/>
            <a:t>Terug</a:t>
          </a:r>
          <a:r>
            <a:rPr lang="nl-NL" sz="1400" baseline="0"/>
            <a:t> </a:t>
          </a:r>
          <a:r>
            <a:rPr lang="nl-NL" sz="1400"/>
            <a:t>naar</a:t>
          </a:r>
          <a:r>
            <a:rPr lang="nl-NL" sz="1400" baseline="0"/>
            <a:t> </a:t>
          </a:r>
          <a:r>
            <a:rPr lang="nl-NL" sz="1400" i="1"/>
            <a:t>Startpagina</a:t>
          </a:r>
        </a:p>
      </xdr:txBody>
    </xdr:sp>
    <xdr:clientData/>
  </xdr:twoCellAnchor>
  <xdr:twoCellAnchor>
    <xdr:from>
      <xdr:col>17</xdr:col>
      <xdr:colOff>4295</xdr:colOff>
      <xdr:row>0</xdr:row>
      <xdr:rowOff>67778</xdr:rowOff>
    </xdr:from>
    <xdr:to>
      <xdr:col>19</xdr:col>
      <xdr:colOff>2337582</xdr:colOff>
      <xdr:row>5</xdr:row>
      <xdr:rowOff>62903</xdr:rowOff>
    </xdr:to>
    <xdr:sp macro="[0]!Terug_naar_start" textlink="">
      <xdr:nvSpPr>
        <xdr:cNvPr id="8" name="Pijl-links 7">
          <a:hlinkClick xmlns:r="http://schemas.openxmlformats.org/officeDocument/2006/relationships" r:id="rId2"/>
          <a:extLst>
            <a:ext uri="{FF2B5EF4-FFF2-40B4-BE49-F238E27FC236}">
              <a16:creationId xmlns:a16="http://schemas.microsoft.com/office/drawing/2014/main" id="{00000000-0008-0000-0100-000008000000}"/>
            </a:ext>
          </a:extLst>
        </xdr:cNvPr>
        <xdr:cNvSpPr/>
      </xdr:nvSpPr>
      <xdr:spPr bwMode="auto">
        <a:xfrm flipH="1">
          <a:off x="9824570" y="67778"/>
          <a:ext cx="2700000" cy="900000"/>
        </a:xfrm>
        <a:prstGeom prst="leftArrow">
          <a:avLst/>
        </a:prstGeom>
        <a:solidFill>
          <a:srgbClr val="FC4861"/>
        </a:solidFill>
        <a:ln>
          <a:noFill/>
          <a:headEnd type="none" w="med" len="med"/>
          <a:tailEnd type="none" w="med" len="med"/>
        </a:ln>
      </xdr:spPr>
      <xdr:style>
        <a:lnRef idx="0">
          <a:schemeClr val="accent5"/>
        </a:lnRef>
        <a:fillRef idx="3">
          <a:schemeClr val="accent5"/>
        </a:fillRef>
        <a:effectRef idx="3">
          <a:schemeClr val="accent5"/>
        </a:effectRef>
        <a:fontRef idx="minor">
          <a:schemeClr val="lt1"/>
        </a:fontRef>
      </xdr:style>
      <xdr:txBody>
        <a:bodyPr vertOverflow="clip" horzOverflow="clip" wrap="square" lIns="18288" tIns="0" rIns="0" bIns="0" rtlCol="0" anchor="ctr" upright="1"/>
        <a:lstStyle/>
        <a:p>
          <a:pPr algn="ctr"/>
          <a:r>
            <a:rPr lang="nl-NL" sz="1400"/>
            <a:t>Naar</a:t>
          </a:r>
          <a:r>
            <a:rPr lang="nl-NL" sz="1400" baseline="0"/>
            <a:t> </a:t>
          </a:r>
          <a:r>
            <a:rPr lang="nl-NL" sz="1400" i="1"/>
            <a:t>Loonkosten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3257549</xdr:colOff>
      <xdr:row>0</xdr:row>
      <xdr:rowOff>152400</xdr:rowOff>
    </xdr:from>
    <xdr:to>
      <xdr:col>6</xdr:col>
      <xdr:colOff>199687</xdr:colOff>
      <xdr:row>4</xdr:row>
      <xdr:rowOff>138000</xdr:rowOff>
    </xdr:to>
    <xdr:sp macro="[0]!Terug_naar_start" textlink="">
      <xdr:nvSpPr>
        <xdr:cNvPr id="2" name="Pijl-links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bwMode="auto">
        <a:xfrm>
          <a:off x="3557587" y="152400"/>
          <a:ext cx="2700000" cy="900000"/>
        </a:xfrm>
        <a:prstGeom prst="leftArrow">
          <a:avLst/>
        </a:prstGeom>
        <a:solidFill>
          <a:srgbClr val="FC4861"/>
        </a:solidFill>
        <a:ln>
          <a:solidFill>
            <a:srgbClr val="FC4861"/>
          </a:solidFill>
          <a:headEnd type="none" w="med" len="med"/>
          <a:tailEnd type="none" w="med" len="med"/>
        </a:ln>
      </xdr:spPr>
      <xdr:style>
        <a:lnRef idx="0">
          <a:schemeClr val="accent5"/>
        </a:lnRef>
        <a:fillRef idx="3">
          <a:schemeClr val="accent5"/>
        </a:fillRef>
        <a:effectRef idx="3">
          <a:schemeClr val="accent5"/>
        </a:effectRef>
        <a:fontRef idx="minor">
          <a:schemeClr val="lt1"/>
        </a:fontRef>
      </xdr:style>
      <xdr:txBody>
        <a:bodyPr vertOverflow="clip" horzOverflow="clip" wrap="square" lIns="18288" tIns="0" rIns="0" bIns="0" rtlCol="0" anchor="ctr" upright="1"/>
        <a:lstStyle/>
        <a:p>
          <a:pPr algn="ctr"/>
          <a:r>
            <a:rPr lang="nl-NL" sz="1400"/>
            <a:t>Terug</a:t>
          </a:r>
          <a:r>
            <a:rPr lang="nl-NL" sz="1400" baseline="0"/>
            <a:t> </a:t>
          </a:r>
          <a:r>
            <a:rPr lang="nl-NL" sz="1400"/>
            <a:t>naar</a:t>
          </a:r>
          <a:r>
            <a:rPr lang="nl-NL" sz="1400" baseline="0"/>
            <a:t> </a:t>
          </a:r>
          <a:r>
            <a:rPr lang="nl-NL" sz="1400" i="1"/>
            <a:t>Invoer gegevens</a:t>
          </a:r>
        </a:p>
      </xdr:txBody>
    </xdr:sp>
    <xdr:clientData/>
  </xdr:twoCellAnchor>
  <xdr:twoCellAnchor>
    <xdr:from>
      <xdr:col>2</xdr:col>
      <xdr:colOff>28575</xdr:colOff>
      <xdr:row>0</xdr:row>
      <xdr:rowOff>152400</xdr:rowOff>
    </xdr:from>
    <xdr:to>
      <xdr:col>2</xdr:col>
      <xdr:colOff>2728575</xdr:colOff>
      <xdr:row>4</xdr:row>
      <xdr:rowOff>138000</xdr:rowOff>
    </xdr:to>
    <xdr:sp macro="[0]!Terug_naar_start" textlink="">
      <xdr:nvSpPr>
        <xdr:cNvPr id="3" name="Pijl-links 2">
          <a:hlinkClick xmlns:r="http://schemas.openxmlformats.org/officeDocument/2006/relationships" r:id="rId2"/>
          <a:extLst>
            <a:ext uri="{FF2B5EF4-FFF2-40B4-BE49-F238E27FC236}">
              <a16:creationId xmlns:a16="http://schemas.microsoft.com/office/drawing/2014/main" id="{00000000-0008-0000-0200-000003000000}"/>
            </a:ext>
          </a:extLst>
        </xdr:cNvPr>
        <xdr:cNvSpPr/>
      </xdr:nvSpPr>
      <xdr:spPr bwMode="auto">
        <a:xfrm>
          <a:off x="328613" y="152400"/>
          <a:ext cx="2700000" cy="900000"/>
        </a:xfrm>
        <a:prstGeom prst="leftArrow">
          <a:avLst/>
        </a:prstGeom>
        <a:solidFill>
          <a:srgbClr val="FC4861"/>
        </a:solidFill>
        <a:ln>
          <a:solidFill>
            <a:srgbClr val="FC4861"/>
          </a:solidFill>
          <a:headEnd type="none" w="med" len="med"/>
          <a:tailEnd type="none" w="med" len="med"/>
        </a:ln>
      </xdr:spPr>
      <xdr:style>
        <a:lnRef idx="0">
          <a:schemeClr val="accent5"/>
        </a:lnRef>
        <a:fillRef idx="3">
          <a:schemeClr val="accent5"/>
        </a:fillRef>
        <a:effectRef idx="3">
          <a:schemeClr val="accent5"/>
        </a:effectRef>
        <a:fontRef idx="minor">
          <a:schemeClr val="lt1"/>
        </a:fontRef>
      </xdr:style>
      <xdr:txBody>
        <a:bodyPr vertOverflow="clip" horzOverflow="clip" wrap="square" lIns="18288" tIns="0" rIns="0" bIns="0" rtlCol="0" anchor="ctr" upright="1"/>
        <a:lstStyle/>
        <a:p>
          <a:pPr algn="ctr"/>
          <a:r>
            <a:rPr lang="nl-NL" sz="1400"/>
            <a:t>Terug</a:t>
          </a:r>
          <a:r>
            <a:rPr lang="nl-NL" sz="1400" baseline="0"/>
            <a:t> </a:t>
          </a:r>
          <a:r>
            <a:rPr lang="nl-NL" sz="1400"/>
            <a:t>naar</a:t>
          </a:r>
          <a:r>
            <a:rPr lang="nl-NL" sz="1400" baseline="0"/>
            <a:t> </a:t>
          </a:r>
          <a:r>
            <a:rPr lang="nl-NL" sz="1400" i="1"/>
            <a:t>Startpagina</a:t>
          </a:r>
        </a:p>
      </xdr:txBody>
    </xdr:sp>
    <xdr:clientData/>
  </xdr:twoCellAnchor>
  <xdr:twoCellAnchor>
    <xdr:from>
      <xdr:col>9</xdr:col>
      <xdr:colOff>42865</xdr:colOff>
      <xdr:row>0</xdr:row>
      <xdr:rowOff>152400</xdr:rowOff>
    </xdr:from>
    <xdr:to>
      <xdr:col>15</xdr:col>
      <xdr:colOff>720640</xdr:colOff>
      <xdr:row>4</xdr:row>
      <xdr:rowOff>138000</xdr:rowOff>
    </xdr:to>
    <xdr:sp macro="[0]!Terug_naar_start" textlink="">
      <xdr:nvSpPr>
        <xdr:cNvPr id="4" name="Pijl-links 3">
          <a:hlinkClick xmlns:r="http://schemas.openxmlformats.org/officeDocument/2006/relationships" r:id="rId3"/>
          <a:extLst>
            <a:ext uri="{FF2B5EF4-FFF2-40B4-BE49-F238E27FC236}">
              <a16:creationId xmlns:a16="http://schemas.microsoft.com/office/drawing/2014/main" id="{00000000-0008-0000-0200-000004000000}"/>
            </a:ext>
          </a:extLst>
        </xdr:cNvPr>
        <xdr:cNvSpPr/>
      </xdr:nvSpPr>
      <xdr:spPr bwMode="auto">
        <a:xfrm flipH="1">
          <a:off x="7405690" y="152400"/>
          <a:ext cx="3240000" cy="900000"/>
        </a:xfrm>
        <a:prstGeom prst="leftArrow">
          <a:avLst/>
        </a:prstGeom>
        <a:solidFill>
          <a:srgbClr val="FC4861"/>
        </a:solidFill>
        <a:ln>
          <a:solidFill>
            <a:srgbClr val="FC4861"/>
          </a:solidFill>
          <a:headEnd type="none" w="med" len="med"/>
          <a:tailEnd type="none" w="med" len="med"/>
        </a:ln>
      </xdr:spPr>
      <xdr:style>
        <a:lnRef idx="0">
          <a:schemeClr val="accent5"/>
        </a:lnRef>
        <a:fillRef idx="3">
          <a:schemeClr val="accent5"/>
        </a:fillRef>
        <a:effectRef idx="3">
          <a:schemeClr val="accent5"/>
        </a:effectRef>
        <a:fontRef idx="minor">
          <a:schemeClr val="lt1"/>
        </a:fontRef>
      </xdr:style>
      <xdr:txBody>
        <a:bodyPr vertOverflow="clip" horzOverflow="clip" wrap="square" lIns="18288" tIns="0" rIns="0" bIns="0" rtlCol="0" anchor="ctr" upright="1"/>
        <a:lstStyle/>
        <a:p>
          <a:pPr algn="ctr"/>
          <a:r>
            <a:rPr lang="nl-NL" sz="1400"/>
            <a:t>Naar</a:t>
          </a:r>
          <a:r>
            <a:rPr lang="nl-NL" sz="1400" baseline="0"/>
            <a:t> </a:t>
          </a:r>
          <a:r>
            <a:rPr lang="nl-NL" sz="1400" i="1"/>
            <a:t>Indicatie</a:t>
          </a:r>
          <a:r>
            <a:rPr lang="nl-NL" sz="1400" i="1" baseline="0"/>
            <a:t> inkomensgevolgen</a:t>
          </a:r>
          <a:endParaRPr lang="nl-NL" sz="1400" i="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3214669</xdr:colOff>
      <xdr:row>0</xdr:row>
      <xdr:rowOff>138358</xdr:rowOff>
    </xdr:from>
    <xdr:to>
      <xdr:col>5</xdr:col>
      <xdr:colOff>333019</xdr:colOff>
      <xdr:row>6</xdr:row>
      <xdr:rowOff>9658</xdr:rowOff>
    </xdr:to>
    <xdr:sp macro="[0]!Terug_naar_start" textlink="">
      <xdr:nvSpPr>
        <xdr:cNvPr id="2" name="Pijl-links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bwMode="auto">
        <a:xfrm>
          <a:off x="3671869" y="138358"/>
          <a:ext cx="2700000" cy="900000"/>
        </a:xfrm>
        <a:prstGeom prst="leftArrow">
          <a:avLst/>
        </a:prstGeom>
        <a:solidFill>
          <a:srgbClr val="FC4861"/>
        </a:solidFill>
        <a:ln>
          <a:solidFill>
            <a:srgbClr val="FC4861"/>
          </a:solidFill>
          <a:headEnd type="none" w="med" len="med"/>
          <a:tailEnd type="none" w="med" len="med"/>
        </a:ln>
      </xdr:spPr>
      <xdr:style>
        <a:lnRef idx="0">
          <a:schemeClr val="accent5"/>
        </a:lnRef>
        <a:fillRef idx="3">
          <a:schemeClr val="accent5"/>
        </a:fillRef>
        <a:effectRef idx="3">
          <a:schemeClr val="accent5"/>
        </a:effectRef>
        <a:fontRef idx="minor">
          <a:schemeClr val="lt1"/>
        </a:fontRef>
      </xdr:style>
      <xdr:txBody>
        <a:bodyPr vertOverflow="clip" horzOverflow="clip" wrap="square" lIns="18288" tIns="0" rIns="0" bIns="0" rtlCol="0" anchor="ctr" upright="1"/>
        <a:lstStyle/>
        <a:p>
          <a:pPr algn="ctr"/>
          <a:r>
            <a:rPr lang="nl-NL" sz="1400"/>
            <a:t>Terug</a:t>
          </a:r>
          <a:r>
            <a:rPr lang="nl-NL" sz="1400" baseline="0"/>
            <a:t> </a:t>
          </a:r>
          <a:r>
            <a:rPr lang="nl-NL" sz="1400"/>
            <a:t>naar</a:t>
          </a:r>
          <a:r>
            <a:rPr lang="nl-NL" sz="1400" baseline="0"/>
            <a:t> </a:t>
          </a:r>
          <a:r>
            <a:rPr lang="nl-NL" sz="1400" i="1" baseline="0"/>
            <a:t>Loonkosten</a:t>
          </a:r>
          <a:endParaRPr lang="nl-NL" sz="1400" i="1"/>
        </a:p>
      </xdr:txBody>
    </xdr:sp>
    <xdr:clientData/>
  </xdr:twoCellAnchor>
  <xdr:twoCellAnchor>
    <xdr:from>
      <xdr:col>1</xdr:col>
      <xdr:colOff>83368</xdr:colOff>
      <xdr:row>0</xdr:row>
      <xdr:rowOff>138358</xdr:rowOff>
    </xdr:from>
    <xdr:to>
      <xdr:col>2</xdr:col>
      <xdr:colOff>2611918</xdr:colOff>
      <xdr:row>6</xdr:row>
      <xdr:rowOff>9658</xdr:rowOff>
    </xdr:to>
    <xdr:sp macro="[0]!Terug_naar_start" textlink="">
      <xdr:nvSpPr>
        <xdr:cNvPr id="3" name="Pijl-links 2">
          <a:hlinkClick xmlns:r="http://schemas.openxmlformats.org/officeDocument/2006/relationships" r:id="rId2"/>
          <a:extLst>
            <a:ext uri="{FF2B5EF4-FFF2-40B4-BE49-F238E27FC236}">
              <a16:creationId xmlns:a16="http://schemas.microsoft.com/office/drawing/2014/main" id="{00000000-0008-0000-0300-000003000000}"/>
            </a:ext>
          </a:extLst>
        </xdr:cNvPr>
        <xdr:cNvSpPr/>
      </xdr:nvSpPr>
      <xdr:spPr bwMode="auto">
        <a:xfrm>
          <a:off x="369118" y="138358"/>
          <a:ext cx="2700000" cy="900000"/>
        </a:xfrm>
        <a:prstGeom prst="leftArrow">
          <a:avLst/>
        </a:prstGeom>
        <a:solidFill>
          <a:srgbClr val="FC4861"/>
        </a:solidFill>
        <a:ln>
          <a:solidFill>
            <a:srgbClr val="FC4861"/>
          </a:solidFill>
          <a:headEnd type="none" w="med" len="med"/>
          <a:tailEnd type="none" w="med" len="med"/>
        </a:ln>
      </xdr:spPr>
      <xdr:style>
        <a:lnRef idx="0">
          <a:schemeClr val="accent5"/>
        </a:lnRef>
        <a:fillRef idx="3">
          <a:schemeClr val="accent5"/>
        </a:fillRef>
        <a:effectRef idx="3">
          <a:schemeClr val="accent5"/>
        </a:effectRef>
        <a:fontRef idx="minor">
          <a:schemeClr val="lt1"/>
        </a:fontRef>
      </xdr:style>
      <xdr:txBody>
        <a:bodyPr vertOverflow="clip" horzOverflow="clip" wrap="square" lIns="18288" tIns="0" rIns="0" bIns="0" rtlCol="0" anchor="ctr" upright="1"/>
        <a:lstStyle/>
        <a:p>
          <a:pPr algn="ctr"/>
          <a:r>
            <a:rPr lang="nl-NL" sz="1400"/>
            <a:t>Terug</a:t>
          </a:r>
          <a:r>
            <a:rPr lang="nl-NL" sz="1400" baseline="0"/>
            <a:t> </a:t>
          </a:r>
          <a:r>
            <a:rPr lang="nl-NL" sz="1400"/>
            <a:t>naar</a:t>
          </a:r>
          <a:r>
            <a:rPr lang="nl-NL" sz="1400" baseline="0"/>
            <a:t> </a:t>
          </a:r>
          <a:r>
            <a:rPr lang="nl-NL" sz="1400" i="1"/>
            <a:t>Startpagina</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2700000</xdr:colOff>
      <xdr:row>6</xdr:row>
      <xdr:rowOff>54557</xdr:rowOff>
    </xdr:to>
    <xdr:sp macro="[0]!Terug_naar_start" textlink="">
      <xdr:nvSpPr>
        <xdr:cNvPr id="2" name="Pijl-links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bwMode="auto">
        <a:xfrm>
          <a:off x="428625" y="180975"/>
          <a:ext cx="2700000" cy="959432"/>
        </a:xfrm>
        <a:prstGeom prst="leftArrow">
          <a:avLst/>
        </a:prstGeom>
        <a:solidFill>
          <a:srgbClr val="FC4861"/>
        </a:solidFill>
        <a:ln>
          <a:headEnd type="none" w="med" len="med"/>
          <a:tailEnd type="none" w="med" len="med"/>
        </a:ln>
      </xdr:spPr>
      <xdr:style>
        <a:lnRef idx="0">
          <a:schemeClr val="accent5"/>
        </a:lnRef>
        <a:fillRef idx="3">
          <a:schemeClr val="accent5"/>
        </a:fillRef>
        <a:effectRef idx="3">
          <a:schemeClr val="accent5"/>
        </a:effectRef>
        <a:fontRef idx="minor">
          <a:schemeClr val="lt1"/>
        </a:fontRef>
      </xdr:style>
      <xdr:txBody>
        <a:bodyPr vertOverflow="clip" horzOverflow="clip" wrap="square" lIns="18288" tIns="0" rIns="0" bIns="0" rtlCol="0" anchor="ctr" upright="1"/>
        <a:lstStyle/>
        <a:p>
          <a:pPr algn="ctr"/>
          <a:r>
            <a:rPr lang="nl-NL" sz="1400"/>
            <a:t>Terug</a:t>
          </a:r>
          <a:r>
            <a:rPr lang="nl-NL" sz="1400" baseline="0"/>
            <a:t> </a:t>
          </a:r>
          <a:r>
            <a:rPr lang="nl-NL" sz="1400"/>
            <a:t>naar</a:t>
          </a:r>
          <a:r>
            <a:rPr lang="nl-NL" sz="1400" baseline="0"/>
            <a:t> </a:t>
          </a:r>
          <a:r>
            <a:rPr lang="nl-NL" sz="1400" i="1" baseline="0"/>
            <a:t>Loonkosten</a:t>
          </a:r>
          <a:endParaRPr lang="nl-NL" sz="1400" i="1"/>
        </a:p>
      </xdr:txBody>
    </xdr:sp>
    <xdr:clientData/>
  </xdr:twoCellAnchor>
  <xdr:twoCellAnchor>
    <xdr:from>
      <xdr:col>3</xdr:col>
      <xdr:colOff>0</xdr:colOff>
      <xdr:row>0</xdr:row>
      <xdr:rowOff>166933</xdr:rowOff>
    </xdr:from>
    <xdr:to>
      <xdr:col>6</xdr:col>
      <xdr:colOff>38891</xdr:colOff>
      <xdr:row>6</xdr:row>
      <xdr:rowOff>44737</xdr:rowOff>
    </xdr:to>
    <xdr:sp macro="[0]!Terug_naar_start" textlink="">
      <xdr:nvSpPr>
        <xdr:cNvPr id="3" name="Pijl-links 2">
          <a:hlinkClick xmlns:r="http://schemas.openxmlformats.org/officeDocument/2006/relationships" r:id="rId2"/>
          <a:extLst>
            <a:ext uri="{FF2B5EF4-FFF2-40B4-BE49-F238E27FC236}">
              <a16:creationId xmlns:a16="http://schemas.microsoft.com/office/drawing/2014/main" id="{00000000-0008-0000-0500-000003000000}"/>
            </a:ext>
          </a:extLst>
        </xdr:cNvPr>
        <xdr:cNvSpPr/>
      </xdr:nvSpPr>
      <xdr:spPr bwMode="auto">
        <a:xfrm>
          <a:off x="3867150" y="166933"/>
          <a:ext cx="2782091" cy="963654"/>
        </a:xfrm>
        <a:prstGeom prst="leftArrow">
          <a:avLst/>
        </a:prstGeom>
        <a:solidFill>
          <a:srgbClr val="FC4861"/>
        </a:solidFill>
        <a:ln>
          <a:headEnd type="none" w="med" len="med"/>
          <a:tailEnd type="none" w="med" len="med"/>
        </a:ln>
      </xdr:spPr>
      <xdr:style>
        <a:lnRef idx="0">
          <a:schemeClr val="accent5"/>
        </a:lnRef>
        <a:fillRef idx="3">
          <a:schemeClr val="accent5"/>
        </a:fillRef>
        <a:effectRef idx="3">
          <a:schemeClr val="accent5"/>
        </a:effectRef>
        <a:fontRef idx="minor">
          <a:schemeClr val="lt1"/>
        </a:fontRef>
      </xdr:style>
      <xdr:txBody>
        <a:bodyPr vertOverflow="clip" horzOverflow="clip" wrap="square" lIns="18288" tIns="0" rIns="0" bIns="0" rtlCol="0" anchor="ctr" upright="1"/>
        <a:lstStyle/>
        <a:p>
          <a:pPr algn="ctr"/>
          <a:r>
            <a:rPr lang="nl-NL" sz="1400"/>
            <a:t>Terug</a:t>
          </a:r>
          <a:r>
            <a:rPr lang="nl-NL" sz="1400" baseline="0"/>
            <a:t> </a:t>
          </a:r>
          <a:r>
            <a:rPr lang="nl-NL" sz="1400"/>
            <a:t>naar</a:t>
          </a:r>
          <a:r>
            <a:rPr lang="nl-NL" sz="1400" baseline="0"/>
            <a:t> </a:t>
          </a:r>
          <a:r>
            <a:rPr lang="nl-NL" sz="1400" i="1"/>
            <a:t>Startpagina</a:t>
          </a:r>
        </a:p>
      </xdr:txBody>
    </xdr:sp>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poraad.nl/system/files/2022-12/model%20werkgeverslasten%202023.xlsx"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hyperlink" Target="https://www.vfpf.nl/actueel/premiepercentages-vf-en-pf-voor-2023-zijn-bekend"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www.belastingdienst.nl/wps/wcm/connect/bldcontentnl/belastingdienst/prive/inkomstenbelasting/heffingskortingen_boxen_tariev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B3:AD33"/>
  <sheetViews>
    <sheetView topLeftCell="A22" zoomScaleNormal="100" workbookViewId="0"/>
  </sheetViews>
  <sheetFormatPr defaultColWidth="9.140625" defaultRowHeight="15" customHeight="1" x14ac:dyDescent="0.25"/>
  <cols>
    <col min="1" max="1" width="2.28515625" style="37" customWidth="1"/>
    <col min="2" max="2" width="2.85546875" style="37" customWidth="1"/>
    <col min="3" max="3" width="3" style="37" customWidth="1"/>
    <col min="4" max="6" width="9.140625" style="37"/>
    <col min="7" max="9" width="2.5703125" style="37" customWidth="1"/>
    <col min="10" max="10" width="2.7109375" style="37" customWidth="1"/>
    <col min="11" max="11" width="3.140625" style="37" customWidth="1"/>
    <col min="12" max="12" width="12.85546875" style="37" customWidth="1"/>
    <col min="13" max="13" width="22" style="37" customWidth="1"/>
    <col min="14" max="14" width="2.5703125" style="37" customWidth="1"/>
    <col min="15" max="15" width="2.140625" style="37" customWidth="1"/>
    <col min="16" max="16" width="2.42578125" style="37" customWidth="1"/>
    <col min="17" max="17" width="2.5703125" style="37" customWidth="1"/>
    <col min="18" max="18" width="3.5703125" style="37" customWidth="1"/>
    <col min="19" max="21" width="9.140625" style="37"/>
    <col min="22" max="22" width="2.5703125" style="37" customWidth="1"/>
    <col min="23" max="28" width="9.140625" style="37"/>
    <col min="29" max="29" width="3.140625" style="37" customWidth="1"/>
    <col min="30" max="30" width="3.7109375" style="37" customWidth="1"/>
    <col min="31" max="16384" width="9.140625" style="37"/>
  </cols>
  <sheetData>
    <row r="3" spans="2:30" x14ac:dyDescent="0.25">
      <c r="D3" s="504"/>
      <c r="E3" s="504"/>
      <c r="F3" s="504"/>
      <c r="G3" s="504"/>
      <c r="H3" s="504"/>
      <c r="I3" s="504"/>
      <c r="J3" s="504"/>
    </row>
    <row r="4" spans="2:30" x14ac:dyDescent="0.25">
      <c r="D4" s="92"/>
      <c r="E4" s="92"/>
      <c r="F4" s="92"/>
      <c r="G4" s="92"/>
      <c r="H4" s="92"/>
      <c r="I4" s="92"/>
      <c r="J4" s="92"/>
    </row>
    <row r="5" spans="2:30" ht="21" x14ac:dyDescent="0.35">
      <c r="D5" s="293" t="s">
        <v>148</v>
      </c>
      <c r="E5" s="92"/>
      <c r="F5" s="92"/>
      <c r="G5" s="92"/>
      <c r="H5" s="92"/>
      <c r="I5" s="92"/>
      <c r="J5" s="92"/>
    </row>
    <row r="6" spans="2:30" ht="15" customHeight="1" thickBot="1" x14ac:dyDescent="0.3">
      <c r="Q6" s="64"/>
      <c r="R6" s="64"/>
      <c r="S6" s="64"/>
      <c r="T6" s="64"/>
      <c r="U6" s="64"/>
    </row>
    <row r="7" spans="2:30" s="59" customFormat="1" ht="18.75" customHeight="1" thickTop="1" x14ac:dyDescent="0.25">
      <c r="B7" s="278"/>
      <c r="C7" s="279"/>
      <c r="D7" s="297"/>
      <c r="E7" s="297"/>
      <c r="F7" s="297"/>
      <c r="G7" s="297"/>
      <c r="H7" s="297"/>
      <c r="I7" s="297"/>
      <c r="J7" s="297"/>
      <c r="K7" s="297"/>
      <c r="L7" s="297"/>
      <c r="M7" s="297"/>
      <c r="N7" s="297"/>
      <c r="O7" s="279"/>
      <c r="P7" s="279"/>
      <c r="Q7" s="279"/>
      <c r="R7" s="279"/>
      <c r="S7" s="279"/>
      <c r="T7" s="279"/>
      <c r="U7" s="279"/>
      <c r="V7" s="279"/>
      <c r="W7" s="279"/>
      <c r="X7" s="279"/>
      <c r="Y7" s="279"/>
      <c r="Z7" s="279"/>
      <c r="AA7" s="279"/>
      <c r="AB7" s="279"/>
      <c r="AC7" s="279"/>
      <c r="AD7" s="280"/>
    </row>
    <row r="8" spans="2:30" s="59" customFormat="1" ht="15" customHeight="1" x14ac:dyDescent="0.35">
      <c r="B8" s="281"/>
      <c r="C8" s="60"/>
      <c r="D8" s="294" t="s">
        <v>100</v>
      </c>
      <c r="E8" s="78"/>
      <c r="F8" s="78"/>
      <c r="G8" s="78"/>
      <c r="H8" s="78"/>
      <c r="I8" s="78"/>
      <c r="J8" s="78"/>
      <c r="K8" s="78"/>
      <c r="L8" s="78"/>
      <c r="M8" s="78"/>
      <c r="N8" s="78"/>
      <c r="O8" s="60"/>
      <c r="P8" s="60"/>
      <c r="Q8" s="60"/>
      <c r="R8" s="60"/>
      <c r="S8" s="60"/>
      <c r="T8" s="60"/>
      <c r="U8" s="60"/>
      <c r="V8" s="60"/>
      <c r="W8" s="60"/>
      <c r="X8" s="60"/>
      <c r="Y8" s="60"/>
      <c r="Z8" s="60"/>
      <c r="AA8" s="60"/>
      <c r="AB8" s="60"/>
      <c r="AC8" s="60"/>
      <c r="AD8" s="282"/>
    </row>
    <row r="9" spans="2:30" s="59" customFormat="1" ht="15" customHeight="1" x14ac:dyDescent="0.25">
      <c r="B9" s="281"/>
      <c r="C9" s="60"/>
      <c r="D9" s="78"/>
      <c r="E9" s="78"/>
      <c r="F9" s="78"/>
      <c r="G9" s="78"/>
      <c r="H9" s="78"/>
      <c r="I9" s="78"/>
      <c r="J9" s="78"/>
      <c r="K9" s="78"/>
      <c r="L9" s="78"/>
      <c r="M9" s="78"/>
      <c r="N9" s="78"/>
      <c r="O9" s="60"/>
      <c r="P9" s="60"/>
      <c r="Q9" s="60"/>
      <c r="R9" s="60"/>
      <c r="S9" s="60"/>
      <c r="T9" s="60"/>
      <c r="U9" s="60"/>
      <c r="V9" s="60"/>
      <c r="W9" s="60"/>
      <c r="X9" s="60"/>
      <c r="Y9" s="60"/>
      <c r="Z9" s="60"/>
      <c r="AA9" s="60"/>
      <c r="AB9" s="60"/>
      <c r="AC9" s="60"/>
      <c r="AD9" s="282"/>
    </row>
    <row r="10" spans="2:30" s="59" customFormat="1" ht="15" customHeight="1" x14ac:dyDescent="0.25">
      <c r="B10" s="28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282"/>
    </row>
    <row r="11" spans="2:30" s="59" customFormat="1" ht="45.75" customHeight="1" x14ac:dyDescent="0.25">
      <c r="B11" s="281"/>
      <c r="C11" s="61"/>
      <c r="D11" s="500" t="s">
        <v>284</v>
      </c>
      <c r="E11" s="500"/>
      <c r="F11" s="500"/>
      <c r="G11" s="500"/>
      <c r="H11" s="500"/>
      <c r="I11" s="500"/>
      <c r="J11" s="500"/>
      <c r="K11" s="500"/>
      <c r="L11" s="500"/>
      <c r="M11" s="500"/>
      <c r="N11" s="500"/>
      <c r="O11" s="501"/>
      <c r="P11" s="501"/>
      <c r="Q11" s="501"/>
      <c r="R11" s="501"/>
      <c r="S11" s="501"/>
      <c r="T11" s="501"/>
      <c r="U11" s="501"/>
      <c r="V11" s="501"/>
      <c r="W11" s="501"/>
      <c r="X11" s="501"/>
      <c r="Y11" s="501"/>
      <c r="Z11" s="501"/>
      <c r="AA11" s="501"/>
      <c r="AB11" s="501"/>
      <c r="AC11" s="61"/>
      <c r="AD11" s="282"/>
    </row>
    <row r="12" spans="2:30" s="59" customFormat="1" ht="15" customHeight="1" x14ac:dyDescent="0.25">
      <c r="B12" s="281"/>
      <c r="C12" s="61"/>
      <c r="D12" s="499" t="s">
        <v>149</v>
      </c>
      <c r="E12" s="500"/>
      <c r="F12" s="500"/>
      <c r="G12" s="500"/>
      <c r="H12" s="500"/>
      <c r="I12" s="500"/>
      <c r="J12" s="500"/>
      <c r="K12" s="500"/>
      <c r="L12" s="500"/>
      <c r="M12" s="500"/>
      <c r="N12" s="500"/>
      <c r="O12" s="501"/>
      <c r="P12" s="501"/>
      <c r="Q12" s="501"/>
      <c r="R12" s="501"/>
      <c r="S12" s="501"/>
      <c r="T12" s="501"/>
      <c r="U12" s="501"/>
      <c r="V12" s="501"/>
      <c r="W12" s="501"/>
      <c r="X12" s="501"/>
      <c r="Y12" s="501"/>
      <c r="Z12" s="501"/>
      <c r="AA12" s="501"/>
      <c r="AB12" s="501"/>
      <c r="AC12" s="61"/>
      <c r="AD12" s="282"/>
    </row>
    <row r="13" spans="2:30" s="59" customFormat="1" ht="15" customHeight="1" x14ac:dyDescent="0.25">
      <c r="B13" s="281"/>
      <c r="C13" s="61"/>
      <c r="D13" s="499" t="s">
        <v>150</v>
      </c>
      <c r="E13" s="500"/>
      <c r="F13" s="500"/>
      <c r="G13" s="500"/>
      <c r="H13" s="500"/>
      <c r="I13" s="500"/>
      <c r="J13" s="500"/>
      <c r="K13" s="500"/>
      <c r="L13" s="500"/>
      <c r="M13" s="500"/>
      <c r="N13" s="500"/>
      <c r="O13" s="501"/>
      <c r="P13" s="501"/>
      <c r="Q13" s="501"/>
      <c r="R13" s="501"/>
      <c r="S13" s="501"/>
      <c r="T13" s="501"/>
      <c r="U13" s="501"/>
      <c r="V13" s="501"/>
      <c r="W13" s="501"/>
      <c r="X13" s="501"/>
      <c r="Y13" s="501"/>
      <c r="Z13" s="501"/>
      <c r="AA13" s="501"/>
      <c r="AB13" s="501"/>
      <c r="AC13" s="61"/>
      <c r="AD13" s="282"/>
    </row>
    <row r="14" spans="2:30" s="59" customFormat="1" ht="15" customHeight="1" x14ac:dyDescent="0.25">
      <c r="B14" s="281"/>
      <c r="C14" s="61"/>
      <c r="D14" s="499" t="s">
        <v>254</v>
      </c>
      <c r="E14" s="500"/>
      <c r="F14" s="500"/>
      <c r="G14" s="500"/>
      <c r="H14" s="500"/>
      <c r="I14" s="500"/>
      <c r="J14" s="500"/>
      <c r="K14" s="500"/>
      <c r="L14" s="500"/>
      <c r="M14" s="500"/>
      <c r="N14" s="500"/>
      <c r="O14" s="501"/>
      <c r="P14" s="501"/>
      <c r="Q14" s="501"/>
      <c r="R14" s="501"/>
      <c r="S14" s="501"/>
      <c r="T14" s="501"/>
      <c r="U14" s="501"/>
      <c r="V14" s="501"/>
      <c r="W14" s="501"/>
      <c r="X14" s="501"/>
      <c r="Y14" s="501"/>
      <c r="Z14" s="501"/>
      <c r="AA14" s="501"/>
      <c r="AB14" s="501"/>
      <c r="AC14" s="61"/>
      <c r="AD14" s="282"/>
    </row>
    <row r="15" spans="2:30" s="59" customFormat="1" ht="15" customHeight="1" x14ac:dyDescent="0.25">
      <c r="B15" s="281"/>
      <c r="C15" s="61"/>
      <c r="D15" s="499"/>
      <c r="E15" s="500"/>
      <c r="F15" s="500"/>
      <c r="G15" s="500"/>
      <c r="H15" s="500"/>
      <c r="I15" s="500"/>
      <c r="J15" s="500"/>
      <c r="K15" s="500"/>
      <c r="L15" s="500"/>
      <c r="M15" s="500"/>
      <c r="N15" s="500"/>
      <c r="O15" s="501"/>
      <c r="P15" s="501"/>
      <c r="Q15" s="501"/>
      <c r="R15" s="501"/>
      <c r="S15" s="501"/>
      <c r="T15" s="501"/>
      <c r="U15" s="501"/>
      <c r="V15" s="501"/>
      <c r="W15" s="501"/>
      <c r="X15" s="501"/>
      <c r="Y15" s="501"/>
      <c r="Z15" s="501"/>
      <c r="AA15" s="501"/>
      <c r="AB15" s="501"/>
      <c r="AC15" s="61"/>
      <c r="AD15" s="282"/>
    </row>
    <row r="16" spans="2:30" s="59" customFormat="1" ht="15" customHeight="1" x14ac:dyDescent="0.25">
      <c r="B16" s="281"/>
      <c r="C16" s="61"/>
      <c r="D16" s="499" t="s">
        <v>260</v>
      </c>
      <c r="E16" s="500"/>
      <c r="F16" s="500"/>
      <c r="G16" s="500"/>
      <c r="H16" s="500"/>
      <c r="I16" s="500"/>
      <c r="J16" s="500"/>
      <c r="K16" s="500"/>
      <c r="L16" s="500"/>
      <c r="M16" s="500"/>
      <c r="N16" s="500"/>
      <c r="O16" s="501"/>
      <c r="P16" s="501"/>
      <c r="Q16" s="501"/>
      <c r="R16" s="501"/>
      <c r="S16" s="501"/>
      <c r="T16" s="501"/>
      <c r="U16" s="501"/>
      <c r="V16" s="501"/>
      <c r="W16" s="501"/>
      <c r="X16" s="501"/>
      <c r="Y16" s="501"/>
      <c r="Z16" s="501"/>
      <c r="AA16" s="501"/>
      <c r="AB16" s="501"/>
      <c r="AC16" s="61"/>
      <c r="AD16" s="282"/>
    </row>
    <row r="17" spans="2:30" s="59" customFormat="1" ht="15" customHeight="1" x14ac:dyDescent="0.25">
      <c r="B17" s="281"/>
      <c r="C17" s="61"/>
      <c r="D17" s="499" t="s">
        <v>255</v>
      </c>
      <c r="E17" s="500"/>
      <c r="F17" s="500"/>
      <c r="G17" s="500"/>
      <c r="H17" s="500"/>
      <c r="I17" s="500"/>
      <c r="J17" s="500"/>
      <c r="K17" s="500"/>
      <c r="L17" s="500"/>
      <c r="M17" s="500"/>
      <c r="N17" s="500"/>
      <c r="O17" s="501"/>
      <c r="P17" s="501"/>
      <c r="Q17" s="501"/>
      <c r="R17" s="501"/>
      <c r="S17" s="501"/>
      <c r="T17" s="501"/>
      <c r="U17" s="501"/>
      <c r="V17" s="501"/>
      <c r="W17" s="501"/>
      <c r="X17" s="501"/>
      <c r="Y17" s="501"/>
      <c r="Z17" s="501"/>
      <c r="AA17" s="501"/>
      <c r="AB17" s="501"/>
      <c r="AC17" s="61"/>
      <c r="AD17" s="282"/>
    </row>
    <row r="18" spans="2:30" s="59" customFormat="1" ht="30" customHeight="1" x14ac:dyDescent="0.25">
      <c r="B18" s="281"/>
      <c r="C18" s="61"/>
      <c r="D18" s="499" t="s">
        <v>256</v>
      </c>
      <c r="E18" s="500"/>
      <c r="F18" s="500"/>
      <c r="G18" s="500"/>
      <c r="H18" s="500"/>
      <c r="I18" s="500"/>
      <c r="J18" s="500"/>
      <c r="K18" s="500"/>
      <c r="L18" s="500"/>
      <c r="M18" s="500"/>
      <c r="N18" s="500"/>
      <c r="O18" s="501"/>
      <c r="P18" s="501"/>
      <c r="Q18" s="501"/>
      <c r="R18" s="501"/>
      <c r="S18" s="501"/>
      <c r="T18" s="501"/>
      <c r="U18" s="501"/>
      <c r="V18" s="501"/>
      <c r="W18" s="501"/>
      <c r="X18" s="501"/>
      <c r="Y18" s="501"/>
      <c r="Z18" s="501"/>
      <c r="AA18" s="501"/>
      <c r="AB18" s="501"/>
      <c r="AC18" s="61"/>
      <c r="AD18" s="282"/>
    </row>
    <row r="19" spans="2:30" s="59" customFormat="1" ht="15" customHeight="1" x14ac:dyDescent="0.25">
      <c r="B19" s="281"/>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282"/>
    </row>
    <row r="20" spans="2:30" s="59" customFormat="1" ht="15" customHeight="1" x14ac:dyDescent="0.25">
      <c r="B20" s="281"/>
      <c r="C20" s="60"/>
      <c r="D20" s="295"/>
      <c r="E20" s="80"/>
      <c r="F20" s="80"/>
      <c r="G20" s="80"/>
      <c r="H20" s="80"/>
      <c r="I20" s="80"/>
      <c r="J20" s="80"/>
      <c r="K20" s="80"/>
      <c r="L20" s="80"/>
      <c r="M20" s="80"/>
      <c r="N20" s="80"/>
      <c r="O20" s="80"/>
      <c r="P20" s="60"/>
      <c r="Q20" s="60"/>
      <c r="R20" s="60"/>
      <c r="S20" s="60"/>
      <c r="T20" s="60"/>
      <c r="U20" s="60"/>
      <c r="V20" s="60"/>
      <c r="W20" s="60"/>
      <c r="X20" s="60"/>
      <c r="Y20" s="60"/>
      <c r="Z20" s="60"/>
      <c r="AA20" s="60"/>
      <c r="AB20" s="60"/>
      <c r="AC20" s="60"/>
      <c r="AD20" s="282"/>
    </row>
    <row r="21" spans="2:30" s="59" customFormat="1" ht="21" x14ac:dyDescent="0.35">
      <c r="B21" s="281"/>
      <c r="C21" s="60"/>
      <c r="D21" s="294" t="s">
        <v>127</v>
      </c>
      <c r="E21" s="78"/>
      <c r="F21" s="78"/>
      <c r="G21" s="78"/>
      <c r="H21" s="78"/>
      <c r="I21" s="78"/>
      <c r="J21" s="78"/>
      <c r="K21" s="78"/>
      <c r="L21" s="78"/>
      <c r="M21" s="78"/>
      <c r="N21" s="78"/>
      <c r="O21" s="81"/>
      <c r="P21" s="60"/>
      <c r="Q21" s="60"/>
      <c r="R21" s="60"/>
      <c r="S21" s="60"/>
      <c r="T21" s="60"/>
      <c r="U21" s="60"/>
      <c r="V21" s="60"/>
      <c r="W21" s="60"/>
      <c r="X21" s="60"/>
      <c r="Y21" s="60"/>
      <c r="Z21" s="60"/>
      <c r="AA21" s="60"/>
      <c r="AB21" s="60"/>
      <c r="AC21" s="60"/>
      <c r="AD21" s="282"/>
    </row>
    <row r="22" spans="2:30" s="59" customFormat="1" ht="15" customHeight="1" x14ac:dyDescent="0.25">
      <c r="B22" s="281"/>
      <c r="C22" s="60"/>
      <c r="D22" s="78"/>
      <c r="E22" s="78"/>
      <c r="F22" s="78"/>
      <c r="G22" s="78"/>
      <c r="H22" s="78"/>
      <c r="I22" s="78"/>
      <c r="J22" s="78"/>
      <c r="K22" s="78"/>
      <c r="L22" s="78"/>
      <c r="M22" s="78"/>
      <c r="N22" s="78"/>
      <c r="O22" s="81"/>
      <c r="P22" s="60"/>
      <c r="Q22" s="60"/>
      <c r="R22" s="60"/>
      <c r="S22" s="60"/>
      <c r="T22" s="60"/>
      <c r="U22" s="60"/>
      <c r="V22" s="60"/>
      <c r="W22" s="60"/>
      <c r="X22" s="60"/>
      <c r="Y22" s="60"/>
      <c r="Z22" s="60"/>
      <c r="AA22" s="60"/>
      <c r="AB22" s="60"/>
      <c r="AC22" s="60"/>
      <c r="AD22" s="282"/>
    </row>
    <row r="23" spans="2:30" s="59" customFormat="1" ht="15" customHeight="1" x14ac:dyDescent="0.25">
      <c r="B23" s="281"/>
      <c r="C23" s="61"/>
      <c r="D23" s="83"/>
      <c r="E23" s="83"/>
      <c r="F23" s="83"/>
      <c r="G23" s="83"/>
      <c r="H23" s="83"/>
      <c r="I23" s="83"/>
      <c r="J23" s="83"/>
      <c r="K23" s="83"/>
      <c r="L23" s="83"/>
      <c r="M23" s="83"/>
      <c r="N23" s="83"/>
      <c r="O23" s="79"/>
      <c r="P23" s="61"/>
      <c r="Q23" s="61"/>
      <c r="R23" s="61"/>
      <c r="S23" s="61"/>
      <c r="T23" s="61"/>
      <c r="U23" s="61"/>
      <c r="V23" s="61"/>
      <c r="W23" s="61"/>
      <c r="X23" s="61"/>
      <c r="Y23" s="61"/>
      <c r="Z23" s="61"/>
      <c r="AA23" s="61"/>
      <c r="AB23" s="61"/>
      <c r="AC23" s="61"/>
      <c r="AD23" s="282"/>
    </row>
    <row r="24" spans="2:30" s="59" customFormat="1" ht="30" customHeight="1" x14ac:dyDescent="0.25">
      <c r="B24" s="281"/>
      <c r="C24" s="82"/>
      <c r="D24" s="502" t="s">
        <v>261</v>
      </c>
      <c r="E24" s="503"/>
      <c r="F24" s="503"/>
      <c r="G24" s="503"/>
      <c r="H24" s="503"/>
      <c r="I24" s="503"/>
      <c r="J24" s="503"/>
      <c r="K24" s="503"/>
      <c r="L24" s="503"/>
      <c r="M24" s="503"/>
      <c r="N24" s="503"/>
      <c r="O24" s="501"/>
      <c r="P24" s="501"/>
      <c r="Q24" s="501"/>
      <c r="R24" s="501"/>
      <c r="S24" s="501"/>
      <c r="T24" s="501"/>
      <c r="U24" s="501"/>
      <c r="V24" s="501"/>
      <c r="W24" s="501"/>
      <c r="X24" s="501"/>
      <c r="Y24" s="501"/>
      <c r="Z24" s="501"/>
      <c r="AA24" s="501"/>
      <c r="AB24" s="501"/>
      <c r="AC24" s="61"/>
      <c r="AD24" s="282"/>
    </row>
    <row r="25" spans="2:30" s="59" customFormat="1" ht="15" customHeight="1" x14ac:dyDescent="0.25">
      <c r="B25" s="281"/>
      <c r="C25" s="61"/>
      <c r="D25" s="83"/>
      <c r="E25" s="216"/>
      <c r="F25" s="216"/>
      <c r="G25" s="216"/>
      <c r="H25" s="216"/>
      <c r="I25" s="216"/>
      <c r="J25" s="216"/>
      <c r="K25" s="216"/>
      <c r="L25" s="216"/>
      <c r="M25" s="216"/>
      <c r="N25" s="216"/>
      <c r="O25" s="79"/>
      <c r="P25" s="61"/>
      <c r="Q25" s="61"/>
      <c r="R25" s="61"/>
      <c r="S25" s="61"/>
      <c r="T25" s="61"/>
      <c r="U25" s="61"/>
      <c r="V25" s="61"/>
      <c r="W25" s="61"/>
      <c r="X25" s="61"/>
      <c r="Y25" s="61"/>
      <c r="Z25" s="61"/>
      <c r="AA25" s="61"/>
      <c r="AB25" s="61"/>
      <c r="AC25" s="61"/>
      <c r="AD25" s="282"/>
    </row>
    <row r="26" spans="2:30" s="59" customFormat="1" ht="30.75" customHeight="1" x14ac:dyDescent="0.25">
      <c r="B26" s="281"/>
      <c r="C26" s="61"/>
      <c r="D26" s="502" t="s">
        <v>126</v>
      </c>
      <c r="E26" s="503"/>
      <c r="F26" s="503"/>
      <c r="G26" s="503"/>
      <c r="H26" s="503"/>
      <c r="I26" s="503"/>
      <c r="J26" s="503"/>
      <c r="K26" s="503"/>
      <c r="L26" s="503"/>
      <c r="M26" s="503"/>
      <c r="N26" s="503"/>
      <c r="O26" s="501"/>
      <c r="P26" s="501"/>
      <c r="Q26" s="501"/>
      <c r="R26" s="501"/>
      <c r="S26" s="501"/>
      <c r="T26" s="501"/>
      <c r="U26" s="501"/>
      <c r="V26" s="501"/>
      <c r="W26" s="501"/>
      <c r="X26" s="501"/>
      <c r="Y26" s="501"/>
      <c r="Z26" s="501"/>
      <c r="AA26" s="501"/>
      <c r="AB26" s="501"/>
      <c r="AC26" s="61"/>
      <c r="AD26" s="282"/>
    </row>
    <row r="27" spans="2:30" s="59" customFormat="1" ht="15" customHeight="1" x14ac:dyDescent="0.25">
      <c r="B27" s="281"/>
      <c r="C27" s="61"/>
      <c r="D27" s="83"/>
      <c r="E27" s="216"/>
      <c r="F27" s="216"/>
      <c r="G27" s="216"/>
      <c r="H27" s="216"/>
      <c r="I27" s="216"/>
      <c r="J27" s="216"/>
      <c r="K27" s="216"/>
      <c r="L27" s="216"/>
      <c r="M27" s="216"/>
      <c r="N27" s="216"/>
      <c r="O27" s="79"/>
      <c r="P27" s="61"/>
      <c r="Q27" s="61"/>
      <c r="R27" s="61"/>
      <c r="S27" s="61"/>
      <c r="T27" s="61"/>
      <c r="U27" s="61"/>
      <c r="V27" s="61"/>
      <c r="W27" s="61"/>
      <c r="X27" s="61"/>
      <c r="Y27" s="61"/>
      <c r="Z27" s="61"/>
      <c r="AA27" s="61"/>
      <c r="AB27" s="61"/>
      <c r="AC27" s="61"/>
      <c r="AD27" s="282"/>
    </row>
    <row r="28" spans="2:30" s="59" customFormat="1" ht="30" customHeight="1" x14ac:dyDescent="0.25">
      <c r="B28" s="281"/>
      <c r="C28" s="61"/>
      <c r="D28" s="502" t="s">
        <v>262</v>
      </c>
      <c r="E28" s="503"/>
      <c r="F28" s="503"/>
      <c r="G28" s="503"/>
      <c r="H28" s="503"/>
      <c r="I28" s="503"/>
      <c r="J28" s="503"/>
      <c r="K28" s="503"/>
      <c r="L28" s="503"/>
      <c r="M28" s="503"/>
      <c r="N28" s="503"/>
      <c r="O28" s="501"/>
      <c r="P28" s="501"/>
      <c r="Q28" s="501"/>
      <c r="R28" s="501"/>
      <c r="S28" s="501"/>
      <c r="T28" s="501"/>
      <c r="U28" s="501"/>
      <c r="V28" s="501"/>
      <c r="W28" s="501"/>
      <c r="X28" s="501"/>
      <c r="Y28" s="501"/>
      <c r="Z28" s="501"/>
      <c r="AA28" s="501"/>
      <c r="AB28" s="501"/>
      <c r="AC28" s="61"/>
      <c r="AD28" s="282"/>
    </row>
    <row r="29" spans="2:30" s="59" customFormat="1" ht="26.25" customHeight="1" x14ac:dyDescent="0.25">
      <c r="B29" s="281"/>
      <c r="C29" s="61"/>
      <c r="D29" s="83"/>
      <c r="E29" s="83"/>
      <c r="F29" s="83"/>
      <c r="G29" s="83"/>
      <c r="H29" s="83"/>
      <c r="I29" s="83"/>
      <c r="J29" s="83"/>
      <c r="K29" s="83"/>
      <c r="L29" s="83"/>
      <c r="M29" s="83"/>
      <c r="N29" s="83"/>
      <c r="O29" s="79"/>
      <c r="P29" s="61"/>
      <c r="Q29" s="61"/>
      <c r="R29" s="61"/>
      <c r="S29" s="61"/>
      <c r="T29" s="61"/>
      <c r="U29" s="61"/>
      <c r="V29" s="61"/>
      <c r="W29" s="61"/>
      <c r="X29" s="61"/>
      <c r="Y29" s="61"/>
      <c r="Z29" s="61"/>
      <c r="AA29" s="61"/>
      <c r="AB29" s="61"/>
      <c r="AC29" s="61"/>
      <c r="AD29" s="282"/>
    </row>
    <row r="30" spans="2:30" s="59" customFormat="1" ht="15" customHeight="1" x14ac:dyDescent="0.3">
      <c r="B30" s="281"/>
      <c r="C30" s="61"/>
      <c r="D30" s="296" t="s">
        <v>263</v>
      </c>
      <c r="E30" s="83"/>
      <c r="F30" s="83"/>
      <c r="G30" s="83"/>
      <c r="H30" s="83"/>
      <c r="I30" s="83"/>
      <c r="J30" s="83"/>
      <c r="K30" s="83"/>
      <c r="L30" s="83"/>
      <c r="M30" s="122" t="s">
        <v>190</v>
      </c>
      <c r="N30" s="83"/>
      <c r="O30" s="79"/>
      <c r="P30" s="61"/>
      <c r="Q30" s="61"/>
      <c r="R30" s="61"/>
      <c r="S30" s="61"/>
      <c r="T30" s="61"/>
      <c r="U30" s="61"/>
      <c r="V30" s="61"/>
      <c r="W30" s="61"/>
      <c r="X30" s="61"/>
      <c r="Y30" s="61"/>
      <c r="Z30" s="61"/>
      <c r="AA30" s="61"/>
      <c r="AB30" s="61"/>
      <c r="AC30" s="61"/>
      <c r="AD30" s="282"/>
    </row>
    <row r="31" spans="2:30" s="59" customFormat="1" ht="15" customHeight="1" x14ac:dyDescent="0.3">
      <c r="B31" s="281"/>
      <c r="C31" s="61"/>
      <c r="D31" s="121"/>
      <c r="E31" s="83"/>
      <c r="F31" s="83"/>
      <c r="G31" s="83"/>
      <c r="H31" s="83"/>
      <c r="I31" s="83"/>
      <c r="J31" s="83"/>
      <c r="K31" s="83"/>
      <c r="L31" s="83"/>
      <c r="M31" s="61"/>
      <c r="N31" s="83"/>
      <c r="O31" s="83"/>
      <c r="P31" s="61"/>
      <c r="Q31" s="61"/>
      <c r="R31" s="61"/>
      <c r="S31" s="61"/>
      <c r="T31" s="61"/>
      <c r="U31" s="61"/>
      <c r="V31" s="61"/>
      <c r="W31" s="61"/>
      <c r="X31" s="61"/>
      <c r="Y31" s="61"/>
      <c r="Z31" s="61"/>
      <c r="AA31" s="61"/>
      <c r="AB31" s="61"/>
      <c r="AC31" s="61"/>
      <c r="AD31" s="282"/>
    </row>
    <row r="32" spans="2:30" ht="15" customHeight="1" thickBot="1" x14ac:dyDescent="0.3">
      <c r="B32" s="183"/>
      <c r="C32" s="184"/>
      <c r="D32" s="184"/>
      <c r="E32" s="184"/>
      <c r="F32" s="184"/>
      <c r="G32" s="184"/>
      <c r="H32" s="184"/>
      <c r="I32" s="184"/>
      <c r="J32" s="184"/>
      <c r="K32" s="184"/>
      <c r="L32" s="184"/>
      <c r="M32" s="184"/>
      <c r="N32" s="184"/>
      <c r="O32" s="184"/>
      <c r="P32" s="184"/>
      <c r="Q32" s="184"/>
      <c r="R32" s="184"/>
      <c r="S32" s="184"/>
      <c r="T32" s="184"/>
      <c r="U32" s="184"/>
      <c r="V32" s="184"/>
      <c r="W32" s="184"/>
      <c r="X32" s="184"/>
      <c r="Y32" s="184"/>
      <c r="Z32" s="184"/>
      <c r="AA32" s="184"/>
      <c r="AB32" s="184"/>
      <c r="AC32" s="184"/>
      <c r="AD32" s="185"/>
    </row>
    <row r="33" ht="15" customHeight="1" thickTop="1" x14ac:dyDescent="0.25"/>
  </sheetData>
  <sheetProtection algorithmName="SHA-512" hashValue="RtEsC56C2LqS5694SQ7FiKukcLFXZKUzMyZtN5wRdsnUFOwoCIFeocwkItuSOJY5BasCn6KyAnKIRPQRTQC0Sw==" saltValue="anXj1XOkeNTqAEPTGR8wyw==" spinCount="100000" sheet="1" autoFilter="0"/>
  <mergeCells count="12">
    <mergeCell ref="D18:AB18"/>
    <mergeCell ref="D24:AB24"/>
    <mergeCell ref="D26:AB26"/>
    <mergeCell ref="D28:AB28"/>
    <mergeCell ref="D3:J3"/>
    <mergeCell ref="D11:AB11"/>
    <mergeCell ref="D12:AB12"/>
    <mergeCell ref="D13:AB13"/>
    <mergeCell ref="D14:AB14"/>
    <mergeCell ref="D16:AB16"/>
    <mergeCell ref="D15:AB15"/>
    <mergeCell ref="D17:AB17"/>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4"/>
  <dimension ref="A1:AI54"/>
  <sheetViews>
    <sheetView topLeftCell="I1" workbookViewId="0">
      <selection activeCell="Q15" sqref="Q15"/>
    </sheetView>
  </sheetViews>
  <sheetFormatPr defaultColWidth="9" defaultRowHeight="15" customHeight="1" x14ac:dyDescent="0.2"/>
  <cols>
    <col min="1" max="1" width="12" style="393" bestFit="1" customWidth="1"/>
    <col min="2" max="2" width="2.7109375" style="393" bestFit="1" customWidth="1"/>
    <col min="3" max="6" width="6.7109375" style="393" customWidth="1"/>
    <col min="7" max="7" width="9" style="393"/>
    <col min="8" max="8" width="14.42578125" style="393" bestFit="1" customWidth="1"/>
    <col min="9" max="9" width="3" style="393" bestFit="1" customWidth="1"/>
    <col min="10" max="11" width="9" style="393"/>
    <col min="12" max="12" width="33.140625" style="393" bestFit="1" customWidth="1"/>
    <col min="13" max="13" width="2.7109375" style="393" bestFit="1" customWidth="1"/>
    <col min="14" max="14" width="9" style="393"/>
    <col min="15" max="15" width="5" style="393" bestFit="1" customWidth="1"/>
    <col min="16" max="16" width="9" style="393"/>
    <col min="17" max="17" width="41.140625" style="393" bestFit="1" customWidth="1"/>
    <col min="18" max="18" width="12.42578125" style="393" bestFit="1" customWidth="1"/>
    <col min="19" max="19" width="19.28515625" style="393" bestFit="1" customWidth="1"/>
    <col min="20" max="20" width="15.5703125" style="393" customWidth="1"/>
    <col min="21" max="16384" width="9" style="393"/>
  </cols>
  <sheetData>
    <row r="1" spans="1:35" ht="15" customHeight="1" x14ac:dyDescent="0.3">
      <c r="A1" s="495" t="s">
        <v>366</v>
      </c>
    </row>
    <row r="2" spans="1:35" s="8" customFormat="1" ht="15" customHeight="1" x14ac:dyDescent="0.2">
      <c r="A2" s="387"/>
      <c r="B2" s="387"/>
      <c r="C2" s="387"/>
      <c r="D2" s="387"/>
      <c r="E2" s="387"/>
      <c r="F2" s="387"/>
      <c r="G2" s="387"/>
      <c r="H2" s="387"/>
      <c r="I2" s="387"/>
      <c r="J2" s="387"/>
      <c r="K2" s="387"/>
      <c r="L2" s="387"/>
      <c r="M2" s="387"/>
      <c r="N2" s="387"/>
      <c r="O2" s="387"/>
      <c r="Q2" s="22"/>
      <c r="R2" s="388"/>
      <c r="S2" s="21"/>
      <c r="T2" s="21"/>
      <c r="U2" s="23"/>
      <c r="V2" s="23"/>
      <c r="W2" s="23"/>
      <c r="X2" s="23"/>
      <c r="Y2" s="23"/>
      <c r="Z2" s="23"/>
      <c r="AA2" s="23"/>
      <c r="AB2" s="23"/>
      <c r="AC2" s="23"/>
      <c r="AD2" s="23"/>
      <c r="AE2" s="23"/>
      <c r="AF2" s="23"/>
      <c r="AG2" s="23"/>
      <c r="AH2" s="23"/>
      <c r="AI2" s="23"/>
    </row>
    <row r="3" spans="1:35" s="8" customFormat="1" ht="15" customHeight="1" x14ac:dyDescent="0.2">
      <c r="A3" s="387"/>
      <c r="B3" s="389"/>
      <c r="C3" s="487" t="s">
        <v>135</v>
      </c>
      <c r="D3" s="487"/>
      <c r="E3" s="487" t="s">
        <v>136</v>
      </c>
      <c r="F3" s="389"/>
      <c r="G3" s="387"/>
      <c r="H3" s="382" t="s">
        <v>79</v>
      </c>
      <c r="I3" s="390">
        <v>15</v>
      </c>
      <c r="J3" s="387"/>
      <c r="K3" s="387"/>
      <c r="L3" s="401" t="s">
        <v>171</v>
      </c>
      <c r="M3" s="387"/>
      <c r="N3" s="387"/>
      <c r="O3" s="398" t="s">
        <v>192</v>
      </c>
      <c r="P3" s="399"/>
      <c r="Q3" s="398" t="s">
        <v>226</v>
      </c>
      <c r="R3" s="400" t="s">
        <v>235</v>
      </c>
      <c r="S3" s="398" t="s">
        <v>108</v>
      </c>
      <c r="T3" s="391"/>
      <c r="U3" s="23"/>
      <c r="V3" s="23"/>
      <c r="W3" s="23"/>
      <c r="X3" s="23"/>
      <c r="Y3" s="23"/>
      <c r="Z3" s="23"/>
      <c r="AA3" s="23"/>
      <c r="AB3" s="23"/>
      <c r="AC3" s="23"/>
      <c r="AD3" s="23"/>
      <c r="AE3" s="23"/>
      <c r="AF3" s="23"/>
      <c r="AG3" s="23"/>
      <c r="AH3" s="23"/>
      <c r="AI3" s="23"/>
    </row>
    <row r="4" spans="1:35" s="8" customFormat="1" ht="15" customHeight="1" x14ac:dyDescent="0.2">
      <c r="B4" s="389"/>
      <c r="C4" s="487" t="s">
        <v>339</v>
      </c>
      <c r="D4" s="487" t="s">
        <v>340</v>
      </c>
      <c r="E4" s="487" t="s">
        <v>339</v>
      </c>
      <c r="F4" s="487" t="s">
        <v>340</v>
      </c>
      <c r="H4" s="382" t="s">
        <v>80</v>
      </c>
      <c r="I4" s="390">
        <v>15</v>
      </c>
      <c r="L4" s="8" t="s">
        <v>172</v>
      </c>
      <c r="M4" s="8">
        <v>1</v>
      </c>
      <c r="Q4" s="392" t="s">
        <v>227</v>
      </c>
      <c r="R4" s="155">
        <v>19603</v>
      </c>
      <c r="S4" s="392" t="s">
        <v>237</v>
      </c>
      <c r="T4" s="392">
        <v>16</v>
      </c>
      <c r="U4" s="392">
        <v>2020</v>
      </c>
      <c r="V4" s="23"/>
      <c r="W4" s="23"/>
      <c r="X4" s="23"/>
      <c r="Y4" s="23"/>
      <c r="Z4" s="23"/>
      <c r="AA4" s="23"/>
      <c r="AB4" s="23"/>
      <c r="AC4" s="23"/>
      <c r="AD4" s="23"/>
      <c r="AE4" s="23"/>
      <c r="AF4" s="23"/>
      <c r="AG4" s="23"/>
      <c r="AH4" s="23"/>
      <c r="AI4" s="23"/>
    </row>
    <row r="5" spans="1:35" s="1" customFormat="1" ht="15" customHeight="1" x14ac:dyDescent="0.2">
      <c r="A5" s="485" t="s">
        <v>323</v>
      </c>
      <c r="B5" s="484">
        <v>-3</v>
      </c>
      <c r="C5" s="484" t="str">
        <f>IF(COUNTIF($C$26:$G$26,'Invoer gegevens'!$E$23)&gt;0,IF(VLOOKUP('Invoer gegevens'!$E$23,'Tabellen PO-Raad'!$A$74:$W$109,22,FALSE)&gt;=$B5,HLOOKUP('Invoer gegevens'!$E$23,$C$26:$G$30,2,FALSE),""),"")</f>
        <v/>
      </c>
      <c r="D5" s="484" t="str">
        <f>IF(COUNTIF($C$26:$G$26,'Invoer gegevens'!$F$23)&gt;0,IF(VLOOKUP('Invoer gegevens'!$F$23,'Tabellen PO-Raad'!$A$74:$W$109,22,FALSE)&gt;=$B5,HLOOKUP('Invoer gegevens'!$F$23,$C$26:$G$30,2,FALSE),""),"")</f>
        <v/>
      </c>
      <c r="E5" s="484" t="str">
        <f>IF(COUNTIF($C$26:$G$26,'Invoer gegevens'!$M$23)&gt;0,IF(VLOOKUP('Invoer gegevens'!$M$23,'Tabellen PO-Raad'!$A$74:$W$109,22,FALSE)&gt;=$B5,HLOOKUP('Invoer gegevens'!$M$23,$C$26:$G$30,2,FALSE),""),"")</f>
        <v/>
      </c>
      <c r="F5" s="484" t="str">
        <f>IF(COUNTIF($C$26:$G$26,'Invoer gegevens'!$N$23)&gt;0,IF(VLOOKUP('Invoer gegevens'!$N$23,'Tabellen PO-Raad'!$A$74:$W$109,22,FALSE)&gt;=$B5,HLOOKUP('Invoer gegevens'!$N$23,$C$26:$G$30,2,FALSE),""),"")</f>
        <v/>
      </c>
      <c r="H5" s="382" t="s">
        <v>81</v>
      </c>
      <c r="I5" s="390">
        <v>15</v>
      </c>
      <c r="L5" s="1" t="s">
        <v>173</v>
      </c>
      <c r="M5" s="1">
        <v>2</v>
      </c>
      <c r="Q5" s="392" t="s">
        <v>228</v>
      </c>
      <c r="R5" s="156">
        <v>19968</v>
      </c>
      <c r="S5" s="392" t="s">
        <v>237</v>
      </c>
      <c r="T5" s="392">
        <v>16</v>
      </c>
      <c r="U5" s="392">
        <v>2021</v>
      </c>
      <c r="V5" s="2"/>
      <c r="W5" s="2"/>
      <c r="X5" s="2"/>
      <c r="Y5" s="2"/>
      <c r="Z5" s="2"/>
      <c r="AA5" s="2"/>
      <c r="AB5" s="2"/>
      <c r="AC5" s="2"/>
      <c r="AD5" s="2"/>
      <c r="AE5" s="2"/>
      <c r="AF5" s="2"/>
      <c r="AG5" s="2"/>
      <c r="AH5" s="2"/>
      <c r="AI5" s="2"/>
    </row>
    <row r="6" spans="1:35" s="1" customFormat="1" ht="15" customHeight="1" x14ac:dyDescent="0.2">
      <c r="A6" s="9" t="s">
        <v>324</v>
      </c>
      <c r="B6" s="488">
        <f t="shared" ref="B6:B24" si="0">B5+1</f>
        <v>-2</v>
      </c>
      <c r="C6" s="484" t="str">
        <f>IF(COUNTIF($C$26:$G$26,'Invoer gegevens'!$E$23)&gt;0,IF(VLOOKUP('Invoer gegevens'!$E$23,'Tabellen PO-Raad'!$A$74:$W$109,22,FALSE)&gt;=$B6,HLOOKUP('Invoer gegevens'!$E$23,$C$26:$G$30,3,FALSE),""),"")</f>
        <v/>
      </c>
      <c r="D6" s="484" t="str">
        <f>IF(COUNTIF($C$26:$G$26,'Invoer gegevens'!$F$23)&gt;0,IF(VLOOKUP('Invoer gegevens'!$F$23,'Tabellen PO-Raad'!$A$74:$W$109,22,FALSE)&gt;=$B6,HLOOKUP('Invoer gegevens'!$F$23,$C$26:$G$30,3,FALSE),""),"")</f>
        <v/>
      </c>
      <c r="E6" s="484" t="str">
        <f>IF(COUNTIF($C$26:$G$26,'Invoer gegevens'!$M$23)&gt;0,IF(VLOOKUP('Invoer gegevens'!$M$23,'Tabellen PO-Raad'!$A$74:$W$109,22,FALSE)&gt;=$B6,HLOOKUP('Invoer gegevens'!$M$23,$C$26:$G$30,3,FALSE),""),"")</f>
        <v/>
      </c>
      <c r="F6" s="484" t="str">
        <f>IF(COUNTIF($C$26:$G$26,'Invoer gegevens'!$N$23)&gt;0,IF(VLOOKUP('Invoer gegevens'!$N$23,'Tabellen PO-Raad'!$A$74:$W$109,22,FALSE)&gt;=$B6,HLOOKUP('Invoer gegevens'!$N$23,$C$26:$G$30,3,FALSE),""),"")</f>
        <v/>
      </c>
      <c r="H6" s="382" t="s">
        <v>82</v>
      </c>
      <c r="I6" s="390">
        <v>15</v>
      </c>
      <c r="L6" s="1" t="s">
        <v>174</v>
      </c>
      <c r="M6" s="1">
        <v>3</v>
      </c>
      <c r="Q6" s="392" t="s">
        <v>229</v>
      </c>
      <c r="R6" s="156">
        <v>20333</v>
      </c>
      <c r="S6" s="392" t="s">
        <v>238</v>
      </c>
      <c r="T6" s="392">
        <v>19</v>
      </c>
      <c r="U6" s="392">
        <v>2022</v>
      </c>
      <c r="V6" s="2"/>
      <c r="W6" s="2"/>
      <c r="X6" s="2"/>
      <c r="Y6" s="2"/>
      <c r="Z6" s="2"/>
      <c r="AA6" s="2"/>
      <c r="AB6" s="2"/>
      <c r="AC6" s="2"/>
      <c r="AD6" s="2"/>
      <c r="AE6" s="2"/>
      <c r="AF6" s="2"/>
      <c r="AG6" s="2"/>
      <c r="AH6" s="2"/>
      <c r="AI6" s="2"/>
    </row>
    <row r="7" spans="1:35" s="1" customFormat="1" ht="15" customHeight="1" x14ac:dyDescent="0.2">
      <c r="A7" s="9" t="s">
        <v>325</v>
      </c>
      <c r="B7" s="488">
        <f t="shared" si="0"/>
        <v>-1</v>
      </c>
      <c r="C7" s="484" t="str">
        <f>IF(COUNTIF($C$26:$G$26,'Invoer gegevens'!$E$23)&gt;0,IF(VLOOKUP('Invoer gegevens'!$E$23,'Tabellen PO-Raad'!$A$74:$W$109,22,FALSE)&gt;=$B7,HLOOKUP('Invoer gegevens'!$E$23,$C$26:$G$30,4,FALSE),""),"")</f>
        <v/>
      </c>
      <c r="D7" s="484" t="str">
        <f>IF(COUNTIF($C$26:$G$26,'Invoer gegevens'!$F$23)&gt;0,IF(VLOOKUP('Invoer gegevens'!$F$23,'Tabellen PO-Raad'!$A$74:$W$109,22,FALSE)&gt;=$B7,HLOOKUP('Invoer gegevens'!$F$23,$C$26:$G$30,4,FALSE),""),"")</f>
        <v/>
      </c>
      <c r="E7" s="484" t="str">
        <f>IF(COUNTIF($C$26:$G$26,'Invoer gegevens'!$M$23)&gt;0,IF(VLOOKUP('Invoer gegevens'!$M$23,'Tabellen PO-Raad'!$A$74:$W$109,22,FALSE)&gt;=$B7,HLOOKUP('Invoer gegevens'!$M$23,$C$26:$G$30,4,FALSE),""),"")</f>
        <v/>
      </c>
      <c r="F7" s="484" t="str">
        <f>IF(COUNTIF($C$26:$G$26,'Invoer gegevens'!$N$23)&gt;0,IF(VLOOKUP('Invoer gegevens'!$N$23,'Tabellen PO-Raad'!$A$74:$W$109,22,FALSE)&gt;=$B7,HLOOKUP('Invoer gegevens'!$N$23,$C$26:$G$30,4,FALSE),""),"")</f>
        <v/>
      </c>
      <c r="H7" s="394" t="s">
        <v>85</v>
      </c>
      <c r="I7" s="390">
        <v>13</v>
      </c>
      <c r="L7" s="1" t="s">
        <v>175</v>
      </c>
      <c r="M7" s="1">
        <v>4</v>
      </c>
      <c r="Q7" s="392" t="s">
        <v>230</v>
      </c>
      <c r="R7" s="156">
        <v>20607</v>
      </c>
      <c r="S7" s="392" t="s">
        <v>239</v>
      </c>
      <c r="T7" s="392">
        <v>20</v>
      </c>
      <c r="U7" s="392">
        <v>2023</v>
      </c>
      <c r="V7" s="2"/>
      <c r="W7" s="2"/>
      <c r="X7" s="2"/>
      <c r="Y7" s="2"/>
      <c r="Z7" s="2"/>
      <c r="AA7" s="2"/>
      <c r="AB7" s="2"/>
      <c r="AC7" s="2"/>
      <c r="AD7" s="2"/>
      <c r="AE7" s="2"/>
      <c r="AF7" s="2"/>
      <c r="AG7" s="2"/>
      <c r="AH7" s="2"/>
      <c r="AI7" s="2"/>
    </row>
    <row r="8" spans="1:35" s="1" customFormat="1" ht="15" customHeight="1" x14ac:dyDescent="0.2">
      <c r="A8" s="486" t="s">
        <v>326</v>
      </c>
      <c r="B8" s="488">
        <f t="shared" si="0"/>
        <v>0</v>
      </c>
      <c r="C8" s="484" t="str">
        <f>IF(COUNTIF($C$26:$G$26,'Invoer gegevens'!$E$23)&gt;0,IF(VLOOKUP('Invoer gegevens'!$E$23,'Tabellen PO-Raad'!$A$74:$W$109,22,FALSE)&gt;=$B8,HLOOKUP('Invoer gegevens'!$E$23,$C$26:$G$30,5,FALSE),""),"")</f>
        <v/>
      </c>
      <c r="D8" s="484" t="str">
        <f>IF(COUNTIF($C$26:$G$26,'Invoer gegevens'!$F$23)&gt;0,IF(VLOOKUP('Invoer gegevens'!$F$23,'Tabellen PO-Raad'!$A$74:$W$109,22,FALSE)&gt;=$B8,HLOOKUP('Invoer gegevens'!$F$23,$C$26:$G$30,5,FALSE),""),"")</f>
        <v/>
      </c>
      <c r="E8" s="484" t="str">
        <f>IF(COUNTIF($C$26:$G$26,'Invoer gegevens'!$M$23)&gt;0,IF(VLOOKUP('Invoer gegevens'!$M$23,'Tabellen PO-Raad'!$A$74:$W$109,22,FALSE)&gt;=$B8,HLOOKUP('Invoer gegevens'!$M$23,$C$26:$G$30,5,FALSE),""),"")</f>
        <v/>
      </c>
      <c r="F8" s="484" t="str">
        <f>IF(COUNTIF($C$26:$G$26,'Invoer gegevens'!$N$23)&gt;0,IF(VLOOKUP('Invoer gegevens'!$N$23,'Tabellen PO-Raad'!$A$74:$W$109,22,FALSE)&gt;=$B8,HLOOKUP('Invoer gegevens'!$N$23,$C$26:$G$30,5,FALSE),""),"")</f>
        <v/>
      </c>
      <c r="H8" s="394" t="s">
        <v>86</v>
      </c>
      <c r="I8" s="390">
        <v>18</v>
      </c>
      <c r="L8" s="1" t="s">
        <v>176</v>
      </c>
      <c r="M8" s="1">
        <v>5</v>
      </c>
      <c r="Q8" s="392" t="s">
        <v>232</v>
      </c>
      <c r="R8" s="156">
        <v>20880</v>
      </c>
      <c r="S8" s="392" t="s">
        <v>231</v>
      </c>
      <c r="T8" s="392">
        <v>24</v>
      </c>
      <c r="U8" s="392">
        <v>2024</v>
      </c>
      <c r="V8" s="2"/>
      <c r="W8" s="2"/>
      <c r="X8" s="2"/>
      <c r="Y8" s="2"/>
      <c r="Z8" s="2"/>
      <c r="AA8" s="2"/>
      <c r="AB8" s="2"/>
      <c r="AC8" s="2"/>
      <c r="AD8" s="2"/>
      <c r="AE8" s="2"/>
      <c r="AF8" s="2"/>
      <c r="AG8" s="2"/>
      <c r="AH8" s="2"/>
      <c r="AI8" s="2"/>
    </row>
    <row r="9" spans="1:35" s="1" customFormat="1" ht="15" customHeight="1" x14ac:dyDescent="0.2">
      <c r="B9" s="488">
        <f t="shared" si="0"/>
        <v>1</v>
      </c>
      <c r="C9" s="484">
        <f>IF(VLOOKUP('Invoer gegevens'!$E$23,'Tabellen PO-Raad'!$A$74:$W$109,22,FALSE)&gt;=$B9,$B9,"")</f>
        <v>1</v>
      </c>
      <c r="D9" s="484">
        <f>IF(VLOOKUP('Invoer gegevens'!$F$23,'Tabellen PO-Raad'!$A$74:$W$109,22,FALSE)&gt;=$B9,$B9,"")</f>
        <v>1</v>
      </c>
      <c r="E9" s="484">
        <f>IF(VLOOKUP('Invoer gegevens'!$M$23,'Tabellen PO-Raad'!$A$74:$W$109,22,FALSE)&gt;=$B9,$B9,"")</f>
        <v>1</v>
      </c>
      <c r="F9" s="484">
        <f>IF(VLOOKUP('Invoer gegevens'!$N$23,'Tabellen PO-Raad'!$A$74:$W$109,22,FALSE)&gt;=$B9,$B9,"")</f>
        <v>1</v>
      </c>
      <c r="H9" s="394" t="s">
        <v>87</v>
      </c>
      <c r="I9" s="390">
        <v>20</v>
      </c>
      <c r="L9" s="1" t="s">
        <v>177</v>
      </c>
      <c r="M9" s="1">
        <v>6</v>
      </c>
      <c r="Q9" s="392" t="s">
        <v>233</v>
      </c>
      <c r="R9" s="156">
        <v>21186</v>
      </c>
      <c r="S9" s="392" t="s">
        <v>231</v>
      </c>
      <c r="T9" s="392">
        <v>24</v>
      </c>
      <c r="U9" s="392">
        <v>2025</v>
      </c>
      <c r="V9" s="2"/>
      <c r="W9" s="2"/>
      <c r="X9" s="2"/>
      <c r="Y9" s="2"/>
      <c r="Z9" s="2"/>
      <c r="AA9" s="2"/>
      <c r="AB9" s="2"/>
      <c r="AC9" s="2"/>
      <c r="AD9" s="2"/>
      <c r="AE9" s="2"/>
      <c r="AF9" s="2"/>
      <c r="AG9" s="2"/>
      <c r="AH9" s="2"/>
      <c r="AI9" s="2"/>
    </row>
    <row r="10" spans="1:35" s="1" customFormat="1" ht="15" customHeight="1" x14ac:dyDescent="0.2">
      <c r="A10" s="1" t="s">
        <v>137</v>
      </c>
      <c r="B10" s="488">
        <f t="shared" si="0"/>
        <v>2</v>
      </c>
      <c r="C10" s="484">
        <f>IF(VLOOKUP('Invoer gegevens'!$E$23,'Tabellen PO-Raad'!$A$74:$W$109,22,FALSE)&gt;=$B10,$B10,"")</f>
        <v>2</v>
      </c>
      <c r="D10" s="484">
        <f>IF(VLOOKUP('Invoer gegevens'!$F$23,'Tabellen PO-Raad'!$A$74:$W$109,22,FALSE)&gt;=$B10,$B10,"")</f>
        <v>2</v>
      </c>
      <c r="E10" s="484">
        <f>IF(VLOOKUP('Invoer gegevens'!$M$23,'Tabellen PO-Raad'!$A$74:$W$109,22,FALSE)&gt;=$B10,$B10,"")</f>
        <v>2</v>
      </c>
      <c r="F10" s="484">
        <f>IF(VLOOKUP('Invoer gegevens'!$N$23,'Tabellen PO-Raad'!$A$74:$W$109,22,FALSE)&gt;=$B10,$B10,"")</f>
        <v>2</v>
      </c>
      <c r="H10" s="394" t="s">
        <v>88</v>
      </c>
      <c r="I10" s="390">
        <v>19</v>
      </c>
      <c r="L10" s="1" t="s">
        <v>178</v>
      </c>
      <c r="M10" s="1">
        <v>7</v>
      </c>
      <c r="Q10" s="392" t="s">
        <v>234</v>
      </c>
      <c r="R10" s="156">
        <v>21551</v>
      </c>
      <c r="S10" s="392" t="s">
        <v>231</v>
      </c>
      <c r="T10" s="392">
        <v>24</v>
      </c>
      <c r="U10" s="392">
        <v>2026</v>
      </c>
      <c r="V10" s="2"/>
      <c r="W10" s="2"/>
      <c r="X10" s="2"/>
      <c r="Y10" s="2"/>
      <c r="Z10" s="2"/>
      <c r="AA10" s="2"/>
      <c r="AB10" s="2"/>
      <c r="AC10" s="2"/>
      <c r="AD10" s="2"/>
      <c r="AE10" s="2"/>
      <c r="AF10" s="2"/>
      <c r="AG10" s="2"/>
      <c r="AH10" s="2"/>
      <c r="AI10" s="2"/>
    </row>
    <row r="11" spans="1:35" s="1" customFormat="1" ht="15" customHeight="1" x14ac:dyDescent="0.2">
      <c r="B11" s="488">
        <f t="shared" si="0"/>
        <v>3</v>
      </c>
      <c r="C11" s="484">
        <f>IF(VLOOKUP('Invoer gegevens'!$E$23,'Tabellen PO-Raad'!$A$74:$W$109,22,FALSE)&gt;=$B11,$B11,"")</f>
        <v>3</v>
      </c>
      <c r="D11" s="484">
        <f>IF(VLOOKUP('Invoer gegevens'!$F$23,'Tabellen PO-Raad'!$A$74:$W$109,22,FALSE)&gt;=$B11,$B11,"")</f>
        <v>3</v>
      </c>
      <c r="E11" s="484">
        <f>IF(VLOOKUP('Invoer gegevens'!$M$23,'Tabellen PO-Raad'!$A$74:$W$109,22,FALSE)&gt;=$B11,$B11,"")</f>
        <v>3</v>
      </c>
      <c r="F11" s="484">
        <f>IF(VLOOKUP('Invoer gegevens'!$N$23,'Tabellen PO-Raad'!$A$74:$W$109,22,FALSE)&gt;=$B11,$B11,"")</f>
        <v>3</v>
      </c>
      <c r="H11" s="394" t="s">
        <v>89</v>
      </c>
      <c r="I11" s="390">
        <v>13</v>
      </c>
      <c r="L11" s="1" t="s">
        <v>179</v>
      </c>
      <c r="M11" s="1">
        <v>8</v>
      </c>
      <c r="U11" s="2"/>
      <c r="V11" s="2"/>
      <c r="W11" s="2"/>
      <c r="X11" s="2"/>
      <c r="Y11" s="2"/>
      <c r="Z11" s="2"/>
      <c r="AA11" s="2"/>
      <c r="AB11" s="2"/>
      <c r="AC11" s="2"/>
      <c r="AD11" s="2"/>
      <c r="AE11" s="2"/>
      <c r="AF11" s="2"/>
      <c r="AG11" s="2"/>
      <c r="AH11" s="2"/>
      <c r="AI11" s="2"/>
    </row>
    <row r="12" spans="1:35" s="1" customFormat="1" ht="15" customHeight="1" x14ac:dyDescent="0.2">
      <c r="B12" s="488">
        <f t="shared" si="0"/>
        <v>4</v>
      </c>
      <c r="C12" s="484">
        <f>IF(VLOOKUP('Invoer gegevens'!$E$23,'Tabellen PO-Raad'!$A$74:$W$109,22,FALSE)&gt;=$B12,$B12,"")</f>
        <v>4</v>
      </c>
      <c r="D12" s="484">
        <f>IF(VLOOKUP('Invoer gegevens'!$F$23,'Tabellen PO-Raad'!$A$74:$W$109,22,FALSE)&gt;=$B12,$B12,"")</f>
        <v>4</v>
      </c>
      <c r="E12" s="484">
        <f>IF(VLOOKUP('Invoer gegevens'!$M$23,'Tabellen PO-Raad'!$A$74:$W$109,22,FALSE)&gt;=$B12,$B12,"")</f>
        <v>4</v>
      </c>
      <c r="F12" s="484">
        <f>IF(VLOOKUP('Invoer gegevens'!$N$23,'Tabellen PO-Raad'!$A$74:$W$109,22,FALSE)&gt;=$B12,$B12,"")</f>
        <v>4</v>
      </c>
      <c r="H12" s="382" t="s">
        <v>23</v>
      </c>
      <c r="I12" s="390">
        <v>15</v>
      </c>
      <c r="Q12" s="396" t="s">
        <v>195</v>
      </c>
      <c r="R12" s="384">
        <f>VALUE("1-"&amp;'Invoer gegevens'!$G$19&amp;"-"&amp;'Invoer gegevens'!$E$19)</f>
        <v>44927</v>
      </c>
      <c r="S12" s="383">
        <f>VALUE("1-"&amp;'Invoer gegevens'!$G$19&amp;"-"&amp;'Invoer gegevens'!$E$19)</f>
        <v>44927</v>
      </c>
      <c r="T12" s="393">
        <f>YEARFRAC(R12,S12,1)</f>
        <v>0</v>
      </c>
      <c r="U12" s="2"/>
      <c r="V12" s="2"/>
      <c r="W12" s="2"/>
      <c r="X12" s="2"/>
      <c r="Y12" s="2"/>
      <c r="Z12" s="2"/>
      <c r="AA12" s="2"/>
      <c r="AB12" s="2"/>
      <c r="AC12" s="2"/>
      <c r="AD12" s="2"/>
      <c r="AE12" s="2"/>
      <c r="AF12" s="2"/>
      <c r="AG12" s="2"/>
      <c r="AH12" s="2"/>
      <c r="AI12" s="2"/>
    </row>
    <row r="13" spans="1:35" s="1" customFormat="1" ht="15" customHeight="1" x14ac:dyDescent="0.2">
      <c r="B13" s="488">
        <f t="shared" si="0"/>
        <v>5</v>
      </c>
      <c r="C13" s="484">
        <f>IF(VLOOKUP('Invoer gegevens'!$E$23,'Tabellen PO-Raad'!$A$74:$W$109,22,FALSE)&gt;=$B13,$B13,"")</f>
        <v>5</v>
      </c>
      <c r="D13" s="484">
        <f>IF(VLOOKUP('Invoer gegevens'!$F$23,'Tabellen PO-Raad'!$A$74:$W$109,22,FALSE)&gt;=$B13,$B13,"")</f>
        <v>5</v>
      </c>
      <c r="E13" s="484">
        <f>IF(VLOOKUP('Invoer gegevens'!$M$23,'Tabellen PO-Raad'!$A$74:$W$109,22,FALSE)&gt;=$B13,$B13,"")</f>
        <v>5</v>
      </c>
      <c r="F13" s="484">
        <f>IF(VLOOKUP('Invoer gegevens'!$N$23,'Tabellen PO-Raad'!$A$74:$W$109,22,FALSE)&gt;=$B13,$B13,"")</f>
        <v>5</v>
      </c>
      <c r="H13" s="395" t="s">
        <v>24</v>
      </c>
      <c r="I13" s="390">
        <v>16</v>
      </c>
      <c r="Q13" s="397" t="s">
        <v>196</v>
      </c>
      <c r="R13" s="385">
        <f>VALUE("1-1-"&amp;'Invoer gegevens'!$E$20)</f>
        <v>45658</v>
      </c>
      <c r="S13" s="386">
        <f>VALUE("1-"&amp;'Invoer gegevens'!$G$20&amp;"-"&amp;'Invoer gegevens'!$E$20)</f>
        <v>45658</v>
      </c>
      <c r="T13" s="393">
        <f>YEARFRAC(R13,S13,1)</f>
        <v>0</v>
      </c>
      <c r="U13" s="2"/>
      <c r="V13" s="2"/>
      <c r="W13" s="2"/>
      <c r="X13" s="2"/>
      <c r="Y13" s="2"/>
      <c r="Z13" s="2"/>
      <c r="AA13" s="2"/>
      <c r="AB13" s="2"/>
      <c r="AC13" s="2"/>
      <c r="AD13" s="2"/>
      <c r="AE13" s="2"/>
      <c r="AF13" s="2"/>
      <c r="AG13" s="2"/>
      <c r="AH13" s="2"/>
      <c r="AI13" s="2"/>
    </row>
    <row r="14" spans="1:35" s="1" customFormat="1" ht="15" customHeight="1" x14ac:dyDescent="0.2">
      <c r="B14" s="488">
        <f t="shared" si="0"/>
        <v>6</v>
      </c>
      <c r="C14" s="484">
        <f>IF(VLOOKUP('Invoer gegevens'!$E$23,'Tabellen PO-Raad'!$A$74:$W$109,22,FALSE)&gt;=$B14,$B14,"")</f>
        <v>6</v>
      </c>
      <c r="D14" s="484">
        <f>IF(VLOOKUP('Invoer gegevens'!$F$23,'Tabellen PO-Raad'!$A$74:$W$109,22,FALSE)&gt;=$B14,$B14,"")</f>
        <v>6</v>
      </c>
      <c r="E14" s="484">
        <f>IF(VLOOKUP('Invoer gegevens'!$M$23,'Tabellen PO-Raad'!$A$74:$W$109,22,FALSE)&gt;=$B14,$B14,"")</f>
        <v>6</v>
      </c>
      <c r="F14" s="484">
        <f>IF(VLOOKUP('Invoer gegevens'!$N$23,'Tabellen PO-Raad'!$A$74:$W$109,22,FALSE)&gt;=$B14,$B14,"")</f>
        <v>6</v>
      </c>
      <c r="H14" s="395" t="s">
        <v>25</v>
      </c>
      <c r="I14" s="390">
        <v>18</v>
      </c>
      <c r="L14" s="1" t="s">
        <v>199</v>
      </c>
      <c r="M14" s="1">
        <v>1</v>
      </c>
      <c r="U14" s="2"/>
      <c r="V14" s="2"/>
      <c r="W14" s="2"/>
      <c r="X14" s="2"/>
      <c r="Y14" s="2"/>
      <c r="Z14" s="2"/>
      <c r="AA14" s="2"/>
      <c r="AB14" s="2"/>
      <c r="AC14" s="2"/>
      <c r="AD14" s="2"/>
      <c r="AE14" s="2"/>
      <c r="AF14" s="2"/>
      <c r="AG14" s="2"/>
      <c r="AH14" s="2"/>
      <c r="AI14" s="2"/>
    </row>
    <row r="15" spans="1:35" s="1" customFormat="1" ht="15" customHeight="1" x14ac:dyDescent="0.2">
      <c r="B15" s="488">
        <f t="shared" si="0"/>
        <v>7</v>
      </c>
      <c r="C15" s="484">
        <f>IF(VLOOKUP('Invoer gegevens'!$E$23,'Tabellen PO-Raad'!$A$74:$W$109,22,FALSE)&gt;=$B15,$B15,"")</f>
        <v>7</v>
      </c>
      <c r="D15" s="484">
        <f>IF(VLOOKUP('Invoer gegevens'!$F$23,'Tabellen PO-Raad'!$A$74:$W$109,22,FALSE)&gt;=$B15,$B15,"")</f>
        <v>7</v>
      </c>
      <c r="E15" s="484">
        <f>IF(VLOOKUP('Invoer gegevens'!$M$23,'Tabellen PO-Raad'!$A$74:$W$109,22,FALSE)&gt;=$B15,$B15,"")</f>
        <v>7</v>
      </c>
      <c r="F15" s="484">
        <f>IF(VLOOKUP('Invoer gegevens'!$N$23,'Tabellen PO-Raad'!$A$74:$W$109,22,FALSE)&gt;=$B15,$B15,"")</f>
        <v>7</v>
      </c>
      <c r="H15" s="395" t="s">
        <v>83</v>
      </c>
      <c r="I15" s="390">
        <v>18</v>
      </c>
      <c r="L15" s="1" t="s">
        <v>200</v>
      </c>
      <c r="M15" s="1">
        <f>M14+1</f>
        <v>2</v>
      </c>
      <c r="U15" s="2"/>
      <c r="V15" s="2"/>
      <c r="W15" s="2"/>
      <c r="X15" s="2"/>
      <c r="Y15" s="2"/>
      <c r="Z15" s="2"/>
      <c r="AA15" s="2"/>
      <c r="AB15" s="2"/>
      <c r="AC15" s="2"/>
      <c r="AD15" s="2"/>
      <c r="AE15" s="2"/>
      <c r="AF15" s="2"/>
      <c r="AG15" s="2"/>
      <c r="AH15" s="2"/>
      <c r="AI15" s="2"/>
    </row>
    <row r="16" spans="1:35" s="1" customFormat="1" ht="15" customHeight="1" x14ac:dyDescent="0.2">
      <c r="A16"/>
      <c r="B16" s="488">
        <f t="shared" si="0"/>
        <v>8</v>
      </c>
      <c r="C16" s="484">
        <f>IF(VLOOKUP('Invoer gegevens'!$E$23,'Tabellen PO-Raad'!$A$74:$W$109,22,FALSE)&gt;=$B16,$B16,"")</f>
        <v>8</v>
      </c>
      <c r="D16" s="484">
        <f>IF(VLOOKUP('Invoer gegevens'!$F$23,'Tabellen PO-Raad'!$A$74:$W$109,22,FALSE)&gt;=$B16,$B16,"")</f>
        <v>8</v>
      </c>
      <c r="E16" s="484">
        <f>IF(VLOOKUP('Invoer gegevens'!$M$23,'Tabellen PO-Raad'!$A$74:$W$109,22,FALSE)&gt;=$B16,$B16,"")</f>
        <v>8</v>
      </c>
      <c r="F16" s="484">
        <f>IF(VLOOKUP('Invoer gegevens'!$N$23,'Tabellen PO-Raad'!$A$74:$W$109,22,FALSE)&gt;=$B16,$B16,"")</f>
        <v>8</v>
      </c>
      <c r="H16" s="394" t="s">
        <v>302</v>
      </c>
      <c r="I16" s="390">
        <v>13</v>
      </c>
      <c r="L16" s="1" t="s">
        <v>201</v>
      </c>
      <c r="M16" s="1">
        <f t="shared" ref="M16:M25" si="1">M15+1</f>
        <v>3</v>
      </c>
      <c r="U16" s="2"/>
      <c r="V16" s="2"/>
      <c r="W16" s="2"/>
      <c r="X16" s="2"/>
      <c r="Y16" s="2"/>
      <c r="Z16" s="2"/>
      <c r="AA16" s="2"/>
      <c r="AB16" s="2"/>
      <c r="AC16" s="2"/>
      <c r="AD16" s="2"/>
      <c r="AE16" s="2"/>
      <c r="AF16" s="2"/>
      <c r="AG16" s="2"/>
      <c r="AH16" s="2"/>
      <c r="AI16" s="2"/>
    </row>
    <row r="17" spans="2:35" s="1" customFormat="1" ht="15" customHeight="1" x14ac:dyDescent="0.2">
      <c r="B17" s="488">
        <f t="shared" si="0"/>
        <v>9</v>
      </c>
      <c r="C17" s="484">
        <f>IF(VLOOKUP('Invoer gegevens'!$E$23,'Tabellen PO-Raad'!$A$74:$W$109,22,FALSE)&gt;=$B17,$B17,"")</f>
        <v>9</v>
      </c>
      <c r="D17" s="484">
        <f>IF(VLOOKUP('Invoer gegevens'!$F$23,'Tabellen PO-Raad'!$A$74:$W$109,22,FALSE)&gt;=$B17,$B17,"")</f>
        <v>9</v>
      </c>
      <c r="E17" s="484">
        <f>IF(VLOOKUP('Invoer gegevens'!$M$23,'Tabellen PO-Raad'!$A$74:$W$109,22,FALSE)&gt;=$B17,$B17,"")</f>
        <v>9</v>
      </c>
      <c r="F17" s="484">
        <f>IF(VLOOKUP('Invoer gegevens'!$N$23,'Tabellen PO-Raad'!$A$74:$W$109,22,FALSE)&gt;=$B17,$B17,"")</f>
        <v>9</v>
      </c>
      <c r="H17" s="394" t="s">
        <v>303</v>
      </c>
      <c r="I17" s="390">
        <v>15</v>
      </c>
      <c r="L17" s="1" t="s">
        <v>202</v>
      </c>
      <c r="M17" s="1">
        <f t="shared" si="1"/>
        <v>4</v>
      </c>
      <c r="U17" s="2"/>
      <c r="V17" s="2"/>
      <c r="W17" s="2"/>
      <c r="X17" s="2"/>
      <c r="Y17" s="2"/>
      <c r="Z17" s="2"/>
      <c r="AA17" s="2"/>
      <c r="AB17" s="2"/>
      <c r="AC17" s="2"/>
      <c r="AD17" s="2"/>
      <c r="AE17" s="2"/>
      <c r="AF17" s="2"/>
      <c r="AG17" s="2"/>
      <c r="AH17" s="2"/>
      <c r="AI17" s="2"/>
    </row>
    <row r="18" spans="2:35" s="1" customFormat="1" ht="15" customHeight="1" x14ac:dyDescent="0.2">
      <c r="B18" s="488">
        <f t="shared" si="0"/>
        <v>10</v>
      </c>
      <c r="C18" s="484">
        <f>IF(VLOOKUP('Invoer gegevens'!$E$23,'Tabellen PO-Raad'!$A$74:$W$109,22,FALSE)&gt;=$B18,$B18,"")</f>
        <v>10</v>
      </c>
      <c r="D18" s="484">
        <f>IF(VLOOKUP('Invoer gegevens'!$F$23,'Tabellen PO-Raad'!$A$74:$W$109,22,FALSE)&gt;=$B18,$B18,"")</f>
        <v>10</v>
      </c>
      <c r="E18" s="484">
        <f>IF(VLOOKUP('Invoer gegevens'!$M$23,'Tabellen PO-Raad'!$A$74:$W$109,22,FALSE)&gt;=$B18,$B18,"")</f>
        <v>10</v>
      </c>
      <c r="F18" s="484">
        <f>IF(VLOOKUP('Invoer gegevens'!$N$23,'Tabellen PO-Raad'!$A$74:$W$109,22,FALSE)&gt;=$B18,$B18,"")</f>
        <v>10</v>
      </c>
      <c r="H18" s="394" t="s">
        <v>304</v>
      </c>
      <c r="I18" s="390">
        <v>17</v>
      </c>
      <c r="L18" s="1" t="s">
        <v>198</v>
      </c>
      <c r="M18" s="1">
        <f t="shared" si="1"/>
        <v>5</v>
      </c>
      <c r="U18" s="2"/>
      <c r="V18" s="2"/>
      <c r="W18" s="2"/>
      <c r="X18" s="2"/>
      <c r="Y18" s="2"/>
      <c r="Z18" s="2"/>
      <c r="AA18" s="2"/>
      <c r="AB18" s="2"/>
      <c r="AC18" s="2"/>
      <c r="AD18" s="2"/>
      <c r="AE18" s="2"/>
      <c r="AF18" s="2"/>
      <c r="AG18" s="2"/>
      <c r="AH18" s="2"/>
      <c r="AI18" s="2"/>
    </row>
    <row r="19" spans="2:35" s="1" customFormat="1" ht="15" customHeight="1" x14ac:dyDescent="0.2">
      <c r="B19" s="488">
        <f t="shared" si="0"/>
        <v>11</v>
      </c>
      <c r="C19" s="484">
        <f>IF(VLOOKUP('Invoer gegevens'!$E$23,'Tabellen PO-Raad'!$A$74:$W$109,22,FALSE)&gt;=$B19,$B19,"")</f>
        <v>11</v>
      </c>
      <c r="D19" s="484">
        <f>IF(VLOOKUP('Invoer gegevens'!$F$23,'Tabellen PO-Raad'!$A$74:$W$109,22,FALSE)&gt;=$B19,$B19,"")</f>
        <v>11</v>
      </c>
      <c r="E19" s="484">
        <f>IF(VLOOKUP('Invoer gegevens'!$M$23,'Tabellen PO-Raad'!$A$74:$W$109,22,FALSE)&gt;=$B19,$B19,"")</f>
        <v>11</v>
      </c>
      <c r="F19" s="484">
        <f>IF(VLOOKUP('Invoer gegevens'!$N$23,'Tabellen PO-Raad'!$A$74:$W$109,22,FALSE)&gt;=$B19,$B19,"")</f>
        <v>11</v>
      </c>
      <c r="H19" s="394" t="s">
        <v>305</v>
      </c>
      <c r="I19" s="390">
        <v>16</v>
      </c>
      <c r="L19" s="1" t="s">
        <v>203</v>
      </c>
      <c r="M19" s="1">
        <f t="shared" si="1"/>
        <v>6</v>
      </c>
      <c r="U19" s="2"/>
      <c r="V19" s="2"/>
      <c r="W19" s="2"/>
      <c r="X19" s="2"/>
      <c r="Y19" s="2"/>
      <c r="Z19" s="2"/>
      <c r="AA19" s="2"/>
      <c r="AB19" s="2"/>
      <c r="AC19" s="2"/>
      <c r="AD19" s="2"/>
      <c r="AE19" s="2"/>
      <c r="AF19" s="2"/>
      <c r="AG19" s="2"/>
      <c r="AH19" s="2"/>
      <c r="AI19" s="2"/>
    </row>
    <row r="20" spans="2:35" s="1" customFormat="1" ht="15" customHeight="1" x14ac:dyDescent="0.2">
      <c r="B20" s="488">
        <f t="shared" si="0"/>
        <v>12</v>
      </c>
      <c r="C20" s="484">
        <f>IF(VLOOKUP('Invoer gegevens'!$E$23,'Tabellen PO-Raad'!$A$74:$W$109,22,FALSE)&gt;=$B20,$B20,"")</f>
        <v>12</v>
      </c>
      <c r="D20" s="484">
        <f>IF(VLOOKUP('Invoer gegevens'!$F$23,'Tabellen PO-Raad'!$A$74:$W$109,22,FALSE)&gt;=$B20,$B20,"")</f>
        <v>12</v>
      </c>
      <c r="E20" s="484">
        <f>IF(VLOOKUP('Invoer gegevens'!$M$23,'Tabellen PO-Raad'!$A$74:$W$109,22,FALSE)&gt;=$B20,$B20,"")</f>
        <v>12</v>
      </c>
      <c r="F20" s="484">
        <f>IF(VLOOKUP('Invoer gegevens'!$N$23,'Tabellen PO-Raad'!$A$74:$W$109,22,FALSE)&gt;=$B20,$B20,"")</f>
        <v>12</v>
      </c>
      <c r="H20" s="395" t="s">
        <v>1</v>
      </c>
      <c r="I20" s="390">
        <v>18</v>
      </c>
      <c r="L20" s="1" t="s">
        <v>204</v>
      </c>
      <c r="M20" s="1">
        <f t="shared" si="1"/>
        <v>7</v>
      </c>
      <c r="U20" s="2"/>
      <c r="V20" s="2"/>
      <c r="W20" s="2"/>
      <c r="X20" s="2"/>
      <c r="Y20" s="2"/>
      <c r="Z20" s="2"/>
      <c r="AA20" s="2"/>
      <c r="AB20" s="2"/>
      <c r="AC20" s="2"/>
      <c r="AD20" s="2"/>
      <c r="AE20" s="2"/>
      <c r="AF20" s="2"/>
      <c r="AG20" s="2"/>
      <c r="AH20" s="2"/>
      <c r="AI20" s="2"/>
    </row>
    <row r="21" spans="2:35" s="1" customFormat="1" ht="15" customHeight="1" x14ac:dyDescent="0.2">
      <c r="B21" s="488">
        <f t="shared" si="0"/>
        <v>13</v>
      </c>
      <c r="C21" s="484" t="str">
        <f>IF(VLOOKUP('Invoer gegevens'!$E$23,'Tabellen PO-Raad'!$A$74:$W$109,22,FALSE)&gt;=$B21,$B21,"")</f>
        <v/>
      </c>
      <c r="D21" s="484" t="str">
        <f>IF(VLOOKUP('Invoer gegevens'!$F$23,'Tabellen PO-Raad'!$A$74:$W$109,22,FALSE)&gt;=$B21,$B21,"")</f>
        <v/>
      </c>
      <c r="E21" s="484" t="str">
        <f>IF(VLOOKUP('Invoer gegevens'!$M$23,'Tabellen PO-Raad'!$A$74:$W$109,22,FALSE)&gt;=$B21,$B21,"")</f>
        <v/>
      </c>
      <c r="F21" s="484" t="str">
        <f>IF(VLOOKUP('Invoer gegevens'!$N$23,'Tabellen PO-Raad'!$A$74:$W$109,22,FALSE)&gt;=$B21,$B21,"")</f>
        <v/>
      </c>
      <c r="H21" s="395" t="s">
        <v>2</v>
      </c>
      <c r="I21" s="390">
        <v>18</v>
      </c>
      <c r="L21" s="1" t="s">
        <v>205</v>
      </c>
      <c r="M21" s="1">
        <f t="shared" si="1"/>
        <v>8</v>
      </c>
      <c r="U21" s="2"/>
      <c r="V21" s="2"/>
      <c r="W21" s="2"/>
      <c r="X21" s="2"/>
      <c r="Y21" s="2"/>
      <c r="Z21" s="2"/>
      <c r="AA21" s="2"/>
      <c r="AB21" s="2"/>
      <c r="AC21" s="2"/>
      <c r="AD21" s="2"/>
      <c r="AE21" s="2"/>
      <c r="AF21" s="2"/>
      <c r="AG21" s="2"/>
      <c r="AH21" s="2"/>
      <c r="AI21" s="2"/>
    </row>
    <row r="22" spans="2:35" s="1" customFormat="1" ht="15" customHeight="1" x14ac:dyDescent="0.2">
      <c r="B22" s="488">
        <f t="shared" si="0"/>
        <v>14</v>
      </c>
      <c r="C22" s="484" t="str">
        <f>IF(VLOOKUP('Invoer gegevens'!$E$23,'Tabellen PO-Raad'!$A$74:$W$109,22,FALSE)&gt;=$B22,$B22,"")</f>
        <v/>
      </c>
      <c r="D22" s="484" t="str">
        <f>IF(VLOOKUP('Invoer gegevens'!$F$23,'Tabellen PO-Raad'!$A$74:$W$109,22,FALSE)&gt;=$B22,$B22,"")</f>
        <v/>
      </c>
      <c r="E22" s="484" t="str">
        <f>IF(VLOOKUP('Invoer gegevens'!$M$23,'Tabellen PO-Raad'!$A$74:$W$109,22,FALSE)&gt;=$B22,$B22,"")</f>
        <v/>
      </c>
      <c r="F22" s="484" t="str">
        <f>IF(VLOOKUP('Invoer gegevens'!$N$23,'Tabellen PO-Raad'!$A$74:$W$109,22,FALSE)&gt;=$B22,$B22,"")</f>
        <v/>
      </c>
      <c r="H22" s="395">
        <v>1</v>
      </c>
      <c r="I22" s="390">
        <v>18</v>
      </c>
      <c r="L22" s="1" t="s">
        <v>206</v>
      </c>
      <c r="M22" s="1">
        <f t="shared" si="1"/>
        <v>9</v>
      </c>
      <c r="U22" s="2"/>
      <c r="V22" s="2"/>
      <c r="W22" s="2"/>
      <c r="X22" s="2"/>
      <c r="Y22" s="2"/>
      <c r="Z22" s="2"/>
      <c r="AA22" s="2"/>
      <c r="AB22" s="2"/>
      <c r="AC22" s="2"/>
      <c r="AD22" s="2"/>
      <c r="AE22" s="2"/>
      <c r="AF22" s="2"/>
      <c r="AG22" s="2"/>
      <c r="AH22" s="2"/>
      <c r="AI22" s="2"/>
    </row>
    <row r="23" spans="2:35" s="1" customFormat="1" ht="15" customHeight="1" x14ac:dyDescent="0.2">
      <c r="B23" s="488">
        <f t="shared" si="0"/>
        <v>15</v>
      </c>
      <c r="C23" s="484" t="str">
        <f>IF(VLOOKUP('Invoer gegevens'!$E$23,'Tabellen PO-Raad'!$A$74:$W$109,22,FALSE)&gt;=$B23,$B23,"")</f>
        <v/>
      </c>
      <c r="D23" s="484" t="str">
        <f>IF(VLOOKUP('Invoer gegevens'!$F$23,'Tabellen PO-Raad'!$A$74:$W$109,22,FALSE)&gt;=$B23,$B23,"")</f>
        <v/>
      </c>
      <c r="E23" s="484" t="str">
        <f>IF(VLOOKUP('Invoer gegevens'!$M$23,'Tabellen PO-Raad'!$A$74:$W$109,22,FALSE)&gt;=$B23,$B23,"")</f>
        <v/>
      </c>
      <c r="F23" s="484" t="str">
        <f>IF(VLOOKUP('Invoer gegevens'!$N$23,'Tabellen PO-Raad'!$A$74:$W$109,22,FALSE)&gt;=$B23,$B23,"")</f>
        <v/>
      </c>
      <c r="H23" s="395">
        <v>2</v>
      </c>
      <c r="I23" s="390">
        <v>7</v>
      </c>
      <c r="L23" s="1" t="s">
        <v>207</v>
      </c>
      <c r="M23" s="1">
        <f t="shared" si="1"/>
        <v>10</v>
      </c>
      <c r="U23" s="2"/>
      <c r="V23" s="2"/>
      <c r="W23" s="2"/>
      <c r="X23" s="2"/>
      <c r="Y23" s="2"/>
      <c r="Z23" s="2"/>
      <c r="AA23" s="2"/>
      <c r="AB23" s="2"/>
      <c r="AC23" s="2"/>
      <c r="AD23" s="2"/>
      <c r="AE23" s="2"/>
      <c r="AF23" s="2"/>
      <c r="AG23" s="2"/>
      <c r="AH23" s="2"/>
      <c r="AI23" s="2"/>
    </row>
    <row r="24" spans="2:35" s="1" customFormat="1" ht="15" customHeight="1" x14ac:dyDescent="0.2">
      <c r="B24" s="488">
        <f t="shared" si="0"/>
        <v>16</v>
      </c>
      <c r="C24" s="484" t="str">
        <f>IF(VLOOKUP('Invoer gegevens'!$E$23,'Tabellen PO-Raad'!$A$74:$W$109,22,FALSE)&gt;=$B24,$B24,"")</f>
        <v/>
      </c>
      <c r="D24" s="484" t="str">
        <f>IF(VLOOKUP('Invoer gegevens'!$F$23,'Tabellen PO-Raad'!$A$74:$W$109,22,FALSE)&gt;=$B24,$B24,"")</f>
        <v/>
      </c>
      <c r="E24" s="484" t="str">
        <f>IF(VLOOKUP('Invoer gegevens'!$M$23,'Tabellen PO-Raad'!$A$74:$W$109,22,FALSE)&gt;=$B24,$B24,"")</f>
        <v/>
      </c>
      <c r="F24" s="484" t="str">
        <f>IF(VLOOKUP('Invoer gegevens'!$N$23,'Tabellen PO-Raad'!$A$74:$W$109,22,FALSE)&gt;=$B24,$B24,"")</f>
        <v/>
      </c>
      <c r="H24" s="395">
        <v>3</v>
      </c>
      <c r="I24" s="390">
        <v>8</v>
      </c>
      <c r="L24" s="1" t="s">
        <v>208</v>
      </c>
      <c r="M24" s="1">
        <f t="shared" si="1"/>
        <v>11</v>
      </c>
      <c r="U24" s="2"/>
      <c r="V24" s="2"/>
      <c r="W24" s="2"/>
      <c r="X24" s="2"/>
      <c r="Y24" s="2"/>
      <c r="Z24" s="2"/>
      <c r="AA24" s="2"/>
      <c r="AB24" s="2"/>
      <c r="AC24" s="2"/>
      <c r="AD24" s="2"/>
      <c r="AE24" s="2"/>
      <c r="AF24" s="2"/>
      <c r="AG24" s="2"/>
      <c r="AH24" s="2"/>
      <c r="AI24" s="2"/>
    </row>
    <row r="25" spans="2:35" s="1" customFormat="1" ht="15" customHeight="1" x14ac:dyDescent="0.2">
      <c r="C25" s="8"/>
      <c r="H25" s="395">
        <v>4</v>
      </c>
      <c r="I25" s="390">
        <v>7</v>
      </c>
      <c r="L25" s="1" t="s">
        <v>209</v>
      </c>
      <c r="M25" s="1">
        <f t="shared" si="1"/>
        <v>12</v>
      </c>
      <c r="U25" s="2"/>
      <c r="V25" s="2"/>
      <c r="W25" s="2"/>
      <c r="X25" s="2"/>
      <c r="Y25" s="2"/>
      <c r="Z25" s="2"/>
      <c r="AA25" s="2"/>
      <c r="AB25" s="2"/>
      <c r="AC25" s="2"/>
      <c r="AD25" s="2"/>
      <c r="AE25" s="2"/>
      <c r="AF25" s="2"/>
      <c r="AG25" s="2"/>
      <c r="AH25" s="2"/>
      <c r="AI25" s="2"/>
    </row>
    <row r="26" spans="2:35" s="1" customFormat="1" ht="15" customHeight="1" x14ac:dyDescent="0.2">
      <c r="C26" s="1" t="s">
        <v>82</v>
      </c>
      <c r="D26" s="1" t="s">
        <v>87</v>
      </c>
      <c r="E26" s="1" t="s">
        <v>88</v>
      </c>
      <c r="F26" s="1" t="s">
        <v>89</v>
      </c>
      <c r="G26" s="1" t="s">
        <v>305</v>
      </c>
      <c r="H26" s="395">
        <v>5</v>
      </c>
      <c r="I26" s="390">
        <v>4</v>
      </c>
      <c r="U26" s="2"/>
      <c r="V26" s="2"/>
      <c r="W26" s="2"/>
      <c r="X26" s="2"/>
      <c r="Y26" s="2"/>
      <c r="Z26" s="2"/>
      <c r="AA26" s="2"/>
      <c r="AB26" s="2"/>
      <c r="AC26" s="2"/>
      <c r="AD26" s="2"/>
      <c r="AE26" s="2"/>
      <c r="AF26" s="2"/>
      <c r="AG26" s="2"/>
      <c r="AH26" s="2"/>
      <c r="AI26" s="2"/>
    </row>
    <row r="27" spans="2:35" s="1" customFormat="1" ht="15" customHeight="1" x14ac:dyDescent="0.2">
      <c r="B27" s="1" t="s">
        <v>323</v>
      </c>
      <c r="C27" s="449" t="s">
        <v>323</v>
      </c>
      <c r="D27" s="1" t="s">
        <v>323</v>
      </c>
      <c r="E27" s="1" t="s">
        <v>323</v>
      </c>
      <c r="F27" s="1" t="s">
        <v>323</v>
      </c>
      <c r="G27" s="1" t="s">
        <v>323</v>
      </c>
      <c r="H27" s="395">
        <v>6</v>
      </c>
      <c r="I27" s="390">
        <v>15</v>
      </c>
      <c r="U27" s="2"/>
      <c r="V27" s="2"/>
      <c r="W27" s="2"/>
      <c r="X27" s="2"/>
      <c r="Y27" s="2"/>
      <c r="Z27" s="2"/>
      <c r="AA27" s="2"/>
      <c r="AB27" s="2"/>
      <c r="AC27" s="2"/>
      <c r="AD27" s="2"/>
      <c r="AE27" s="2"/>
      <c r="AF27" s="2"/>
      <c r="AG27" s="2"/>
      <c r="AH27" s="2"/>
      <c r="AI27" s="2"/>
    </row>
    <row r="28" spans="2:35" s="1" customFormat="1" ht="15" customHeight="1" x14ac:dyDescent="0.2">
      <c r="B28" s="1" t="s">
        <v>324</v>
      </c>
      <c r="C28" s="449" t="s">
        <v>324</v>
      </c>
      <c r="D28" s="1" t="s">
        <v>324</v>
      </c>
      <c r="E28" s="1" t="s">
        <v>324</v>
      </c>
      <c r="F28" s="1" t="s">
        <v>324</v>
      </c>
      <c r="G28" s="1" t="s">
        <v>324</v>
      </c>
      <c r="H28" s="395">
        <v>7</v>
      </c>
      <c r="I28" s="390">
        <v>15</v>
      </c>
      <c r="U28" s="2"/>
      <c r="V28" s="2"/>
      <c r="W28" s="2"/>
      <c r="X28" s="2"/>
      <c r="Y28" s="2"/>
      <c r="Z28" s="2"/>
      <c r="AA28" s="2"/>
      <c r="AB28" s="2"/>
      <c r="AC28" s="2"/>
      <c r="AD28" s="2"/>
      <c r="AE28" s="2"/>
      <c r="AF28" s="2"/>
      <c r="AG28" s="2"/>
      <c r="AH28" s="2"/>
      <c r="AI28" s="2"/>
    </row>
    <row r="29" spans="2:35" s="1" customFormat="1" ht="15" customHeight="1" x14ac:dyDescent="0.2">
      <c r="B29" s="1" t="s">
        <v>325</v>
      </c>
      <c r="C29" s="449" t="s">
        <v>325</v>
      </c>
      <c r="D29" s="1" t="s">
        <v>341</v>
      </c>
      <c r="E29" s="1" t="s">
        <v>325</v>
      </c>
      <c r="F29" s="1" t="s">
        <v>325</v>
      </c>
      <c r="G29" s="1" t="s">
        <v>325</v>
      </c>
      <c r="H29" s="395">
        <v>8</v>
      </c>
      <c r="I29" s="390">
        <v>15</v>
      </c>
      <c r="U29" s="2"/>
      <c r="V29" s="2"/>
      <c r="W29" s="2"/>
      <c r="X29" s="2"/>
      <c r="Y29" s="2"/>
      <c r="Z29" s="2"/>
      <c r="AA29" s="2"/>
      <c r="AB29" s="2"/>
      <c r="AC29" s="2"/>
      <c r="AD29" s="2"/>
      <c r="AE29" s="2"/>
      <c r="AF29" s="2"/>
      <c r="AG29" s="2"/>
      <c r="AH29" s="2"/>
      <c r="AI29" s="2"/>
    </row>
    <row r="30" spans="2:35" s="1" customFormat="1" ht="15" customHeight="1" x14ac:dyDescent="0.2">
      <c r="B30" s="1" t="s">
        <v>326</v>
      </c>
      <c r="C30" s="1" t="s">
        <v>341</v>
      </c>
      <c r="D30" s="1" t="s">
        <v>341</v>
      </c>
      <c r="E30" s="1" t="s">
        <v>341</v>
      </c>
      <c r="F30" s="1" t="s">
        <v>326</v>
      </c>
      <c r="G30" s="1" t="s">
        <v>326</v>
      </c>
      <c r="H30" s="395">
        <v>9</v>
      </c>
      <c r="I30" s="390">
        <v>15</v>
      </c>
      <c r="U30" s="2"/>
      <c r="V30" s="2"/>
      <c r="W30" s="2"/>
      <c r="X30" s="2"/>
      <c r="Y30" s="2"/>
      <c r="Z30" s="2"/>
      <c r="AA30" s="2"/>
      <c r="AB30" s="2"/>
      <c r="AC30" s="2"/>
      <c r="AD30" s="2"/>
      <c r="AE30" s="2"/>
      <c r="AF30" s="2"/>
      <c r="AG30" s="2"/>
      <c r="AH30" s="2"/>
      <c r="AI30" s="2"/>
    </row>
    <row r="31" spans="2:35" s="1" customFormat="1" ht="15" customHeight="1" x14ac:dyDescent="0.2">
      <c r="D31" s="1" t="s">
        <v>341</v>
      </c>
      <c r="E31" s="1" t="s">
        <v>341</v>
      </c>
      <c r="F31" s="1" t="s">
        <v>341</v>
      </c>
      <c r="G31" s="1" t="s">
        <v>341</v>
      </c>
      <c r="H31" s="395">
        <v>10</v>
      </c>
      <c r="I31" s="390">
        <v>15</v>
      </c>
      <c r="U31" s="2"/>
      <c r="V31" s="2"/>
      <c r="W31" s="2"/>
      <c r="X31" s="2"/>
      <c r="Y31" s="2"/>
      <c r="Z31" s="2"/>
      <c r="AA31" s="2"/>
      <c r="AB31" s="2"/>
      <c r="AC31" s="2"/>
      <c r="AD31" s="2"/>
      <c r="AE31" s="2"/>
      <c r="AF31" s="2"/>
      <c r="AG31" s="2"/>
      <c r="AH31" s="2"/>
      <c r="AI31" s="2"/>
    </row>
    <row r="32" spans="2:35" s="1" customFormat="1" ht="15" customHeight="1" x14ac:dyDescent="0.2">
      <c r="H32" s="395">
        <v>11</v>
      </c>
      <c r="I32" s="390">
        <v>1</v>
      </c>
      <c r="U32" s="2"/>
      <c r="V32" s="2"/>
      <c r="W32" s="2"/>
      <c r="X32" s="2"/>
      <c r="Y32" s="2"/>
      <c r="Z32" s="2"/>
      <c r="AA32" s="2"/>
      <c r="AB32" s="2"/>
      <c r="AC32" s="2"/>
      <c r="AD32" s="2"/>
      <c r="AE32" s="2"/>
      <c r="AF32" s="2"/>
      <c r="AG32" s="2"/>
      <c r="AH32" s="2"/>
      <c r="AI32" s="2"/>
    </row>
    <row r="33" spans="2:35" s="1" customFormat="1" ht="15" customHeight="1" x14ac:dyDescent="0.2">
      <c r="H33" s="395">
        <v>12</v>
      </c>
      <c r="I33" s="390">
        <v>1</v>
      </c>
      <c r="U33" s="2"/>
      <c r="V33" s="2"/>
      <c r="W33" s="2"/>
      <c r="X33" s="2"/>
      <c r="Y33" s="2"/>
      <c r="Z33" s="2"/>
      <c r="AA33" s="2"/>
      <c r="AB33" s="2"/>
      <c r="AC33" s="2"/>
      <c r="AD33" s="2"/>
      <c r="AE33" s="2"/>
      <c r="AF33" s="2"/>
      <c r="AG33" s="2"/>
      <c r="AH33" s="2"/>
      <c r="AI33" s="2"/>
    </row>
    <row r="34" spans="2:35" s="1" customFormat="1" ht="15" customHeight="1" x14ac:dyDescent="0.2">
      <c r="H34" s="395">
        <v>13</v>
      </c>
      <c r="I34" s="390">
        <v>11</v>
      </c>
      <c r="U34" s="2"/>
      <c r="V34" s="2"/>
      <c r="W34" s="2"/>
      <c r="X34" s="2"/>
      <c r="Y34" s="2"/>
      <c r="Z34" s="2"/>
      <c r="AA34" s="2"/>
      <c r="AB34" s="2"/>
      <c r="AC34" s="2"/>
      <c r="AD34" s="2"/>
      <c r="AE34" s="2"/>
      <c r="AF34" s="2"/>
      <c r="AG34" s="2"/>
      <c r="AH34" s="2"/>
      <c r="AI34" s="2"/>
    </row>
    <row r="35" spans="2:35" s="1" customFormat="1" ht="15" customHeight="1" x14ac:dyDescent="0.2">
      <c r="H35" s="395">
        <v>14</v>
      </c>
      <c r="I35" s="390">
        <v>10</v>
      </c>
      <c r="U35" s="2"/>
      <c r="V35" s="2"/>
      <c r="W35" s="2"/>
      <c r="X35" s="2"/>
      <c r="Y35" s="2"/>
      <c r="Z35" s="2"/>
      <c r="AA35" s="2"/>
      <c r="AB35" s="2"/>
      <c r="AC35" s="2"/>
      <c r="AD35" s="2"/>
      <c r="AE35" s="2"/>
      <c r="AF35" s="2"/>
      <c r="AG35" s="2"/>
      <c r="AH35" s="2"/>
      <c r="AI35" s="2"/>
    </row>
    <row r="36" spans="2:35" s="1" customFormat="1" ht="15" customHeight="1" x14ac:dyDescent="0.2">
      <c r="H36" s="395">
        <v>15</v>
      </c>
      <c r="I36" s="390">
        <v>11</v>
      </c>
      <c r="U36" s="2"/>
      <c r="V36" s="2"/>
      <c r="W36" s="2"/>
      <c r="X36" s="2"/>
      <c r="Y36" s="2"/>
      <c r="Z36" s="2"/>
      <c r="AA36" s="2"/>
      <c r="AB36" s="2"/>
      <c r="AC36" s="2"/>
      <c r="AD36" s="2"/>
      <c r="AE36" s="2"/>
      <c r="AF36" s="2"/>
      <c r="AG36" s="2"/>
      <c r="AH36" s="2"/>
      <c r="AI36" s="2"/>
    </row>
    <row r="37" spans="2:35" s="1" customFormat="1" ht="15" customHeight="1" x14ac:dyDescent="0.2">
      <c r="H37" s="395">
        <v>16</v>
      </c>
      <c r="I37" s="390">
        <v>13</v>
      </c>
      <c r="U37" s="2"/>
      <c r="V37" s="2"/>
      <c r="W37" s="2"/>
      <c r="X37" s="2"/>
      <c r="Y37" s="2"/>
      <c r="Z37" s="2"/>
      <c r="AA37" s="2"/>
      <c r="AB37" s="2"/>
      <c r="AC37" s="2"/>
      <c r="AD37" s="2"/>
      <c r="AE37" s="2"/>
      <c r="AF37" s="2"/>
      <c r="AG37" s="2"/>
      <c r="AH37" s="2"/>
      <c r="AI37" s="2"/>
    </row>
    <row r="38" spans="2:35" s="1" customFormat="1" ht="15" customHeight="1" x14ac:dyDescent="0.2">
      <c r="H38" s="390"/>
      <c r="I38" s="390">
        <v>15</v>
      </c>
      <c r="U38" s="2"/>
      <c r="V38" s="2"/>
      <c r="W38" s="2"/>
      <c r="X38" s="2"/>
      <c r="Y38" s="2"/>
      <c r="Z38" s="2"/>
      <c r="AA38" s="2"/>
      <c r="AB38" s="2"/>
      <c r="AC38" s="2"/>
      <c r="AD38" s="2"/>
      <c r="AE38" s="2"/>
      <c r="AF38" s="2"/>
      <c r="AG38" s="2"/>
      <c r="AH38" s="2"/>
      <c r="AI38" s="2"/>
    </row>
    <row r="39" spans="2:35" s="1" customFormat="1" ht="15" customHeight="1" x14ac:dyDescent="0.2">
      <c r="H39" s="390"/>
      <c r="I39" s="390">
        <v>7</v>
      </c>
      <c r="U39" s="2"/>
      <c r="V39" s="2"/>
      <c r="W39" s="2"/>
      <c r="X39" s="2"/>
      <c r="Y39" s="2"/>
      <c r="Z39" s="2"/>
      <c r="AA39" s="2"/>
      <c r="AB39" s="2"/>
      <c r="AC39" s="2"/>
      <c r="AD39" s="2"/>
      <c r="AE39" s="2"/>
      <c r="AF39" s="2"/>
      <c r="AG39" s="2"/>
      <c r="AH39" s="2"/>
      <c r="AI39" s="2"/>
    </row>
    <row r="40" spans="2:35" s="1" customFormat="1" ht="15" customHeight="1" x14ac:dyDescent="0.2">
      <c r="H40" s="390"/>
      <c r="I40" s="390">
        <v>8</v>
      </c>
      <c r="U40" s="2"/>
      <c r="V40" s="2"/>
      <c r="W40" s="2"/>
      <c r="X40" s="2"/>
      <c r="Y40" s="2"/>
      <c r="Z40" s="2"/>
      <c r="AA40" s="2"/>
      <c r="AB40" s="2"/>
      <c r="AC40" s="2"/>
      <c r="AD40" s="2"/>
      <c r="AE40" s="2"/>
      <c r="AF40" s="2"/>
      <c r="AG40" s="2"/>
      <c r="AH40" s="2"/>
      <c r="AI40" s="2"/>
    </row>
    <row r="41" spans="2:35" ht="15" customHeight="1" x14ac:dyDescent="0.2">
      <c r="B41" s="1"/>
      <c r="C41" s="1"/>
      <c r="D41" s="1"/>
      <c r="E41" s="1"/>
      <c r="F41" s="1"/>
      <c r="H41" s="390"/>
      <c r="I41" s="390">
        <v>9</v>
      </c>
    </row>
    <row r="42" spans="2:35" ht="15" customHeight="1" x14ac:dyDescent="0.2">
      <c r="H42" s="390"/>
      <c r="I42" s="390">
        <v>11</v>
      </c>
    </row>
    <row r="43" spans="2:35" ht="15" customHeight="1" x14ac:dyDescent="0.2">
      <c r="H43" s="390"/>
      <c r="I43" s="390">
        <v>12</v>
      </c>
    </row>
    <row r="44" spans="2:35" ht="15" customHeight="1" x14ac:dyDescent="0.2">
      <c r="H44" s="390"/>
      <c r="I44" s="390">
        <v>11</v>
      </c>
    </row>
    <row r="45" spans="2:35" ht="15" customHeight="1" x14ac:dyDescent="0.2">
      <c r="H45" s="390"/>
      <c r="I45" s="390">
        <v>12</v>
      </c>
    </row>
    <row r="46" spans="2:35" ht="15" customHeight="1" x14ac:dyDescent="0.2">
      <c r="H46" s="390"/>
      <c r="I46" s="390">
        <v>13</v>
      </c>
    </row>
    <row r="47" spans="2:35" ht="15" customHeight="1" x14ac:dyDescent="0.2">
      <c r="H47" s="390"/>
      <c r="I47" s="390">
        <v>10</v>
      </c>
    </row>
    <row r="48" spans="2:35" ht="15" customHeight="1" x14ac:dyDescent="0.2">
      <c r="H48" s="390"/>
      <c r="I48" s="390">
        <v>13</v>
      </c>
    </row>
    <row r="49" spans="8:9" ht="15" customHeight="1" x14ac:dyDescent="0.2">
      <c r="H49" s="390"/>
      <c r="I49" s="390">
        <v>18</v>
      </c>
    </row>
    <row r="50" spans="8:9" ht="15" customHeight="1" x14ac:dyDescent="0.2">
      <c r="H50" s="390"/>
      <c r="I50" s="390">
        <v>16</v>
      </c>
    </row>
    <row r="51" spans="8:9" ht="15" customHeight="1" x14ac:dyDescent="0.2">
      <c r="H51" s="390"/>
      <c r="I51" s="390">
        <v>13</v>
      </c>
    </row>
    <row r="52" spans="8:9" ht="15" customHeight="1" x14ac:dyDescent="0.2">
      <c r="H52" s="390"/>
      <c r="I52" s="390">
        <v>11</v>
      </c>
    </row>
    <row r="53" spans="8:9" ht="15" customHeight="1" x14ac:dyDescent="0.2">
      <c r="H53" s="390"/>
      <c r="I53" s="390">
        <v>12</v>
      </c>
    </row>
    <row r="54" spans="8:9" ht="15" customHeight="1" x14ac:dyDescent="0.2">
      <c r="I54" s="390">
        <v>12</v>
      </c>
    </row>
  </sheetData>
  <sheetProtection algorithmName="SHA-512" hashValue="abYaKI1fxKbUArHo+3JfekjTGvMSJYEU384v31VCarhsP4z0SFZ62UjmdeSdijeyF2twc8RAFdeohiU3y+7x2w==" saltValue="I/T4aHhlVJRl69Alh9o5Rg==" spinCount="100000" sheet="1" objects="1" scenarios="1"/>
  <dataValidations count="1">
    <dataValidation type="list" allowBlank="1" showInputMessage="1" showErrorMessage="1" sqref="I3">
      <formula1>$I$83:$I$134</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B3:P57"/>
  <sheetViews>
    <sheetView workbookViewId="0">
      <selection activeCell="M19" sqref="M19"/>
    </sheetView>
  </sheetViews>
  <sheetFormatPr defaultColWidth="9.140625" defaultRowHeight="15" customHeight="1" x14ac:dyDescent="0.25"/>
  <cols>
    <col min="1" max="1" width="3.7109375" style="59" customWidth="1"/>
    <col min="2" max="3" width="2.7109375" style="59" customWidth="1"/>
    <col min="4" max="4" width="18.5703125" style="59" customWidth="1"/>
    <col min="5" max="5" width="3.140625" style="59" customWidth="1"/>
    <col min="6" max="8" width="10.7109375" style="59" customWidth="1"/>
    <col min="9" max="9" width="16.140625" style="59" customWidth="1"/>
    <col min="10" max="11" width="10.7109375" style="59" customWidth="1"/>
    <col min="12" max="12" width="3.42578125" style="59" customWidth="1"/>
    <col min="13" max="13" width="17.28515625" style="59" customWidth="1"/>
    <col min="14" max="14" width="30.140625" style="59" customWidth="1"/>
    <col min="15" max="16" width="2.85546875" style="59" customWidth="1"/>
    <col min="17" max="17" width="4.7109375" style="59" customWidth="1"/>
    <col min="18" max="16384" width="9.140625" style="59"/>
  </cols>
  <sheetData>
    <row r="3" spans="2:16" ht="24" customHeight="1" x14ac:dyDescent="0.25">
      <c r="M3" s="77"/>
      <c r="N3" s="77"/>
    </row>
    <row r="4" spans="2:16" ht="15" customHeight="1" x14ac:dyDescent="0.35">
      <c r="D4" s="512" t="s">
        <v>151</v>
      </c>
      <c r="E4" s="512"/>
      <c r="F4" s="512"/>
      <c r="G4" s="512"/>
      <c r="H4" s="512"/>
      <c r="I4" s="512"/>
      <c r="J4" s="512"/>
      <c r="K4" s="512"/>
      <c r="L4" s="512"/>
      <c r="M4" s="77"/>
      <c r="N4" s="77"/>
    </row>
    <row r="5" spans="2:16" ht="21" customHeight="1" thickBot="1" x14ac:dyDescent="0.3">
      <c r="D5" s="77"/>
      <c r="E5" s="77"/>
      <c r="F5" s="77"/>
      <c r="G5" s="77"/>
      <c r="H5" s="77"/>
      <c r="I5" s="77"/>
      <c r="J5" s="77"/>
      <c r="K5" s="77"/>
      <c r="L5" s="77"/>
      <c r="M5" s="77"/>
      <c r="N5" s="77"/>
    </row>
    <row r="6" spans="2:16" ht="15" customHeight="1" thickTop="1" x14ac:dyDescent="0.25">
      <c r="B6" s="278"/>
      <c r="C6" s="279"/>
      <c r="D6" s="279"/>
      <c r="E6" s="279"/>
      <c r="F6" s="279"/>
      <c r="G6" s="279"/>
      <c r="H6" s="279"/>
      <c r="I6" s="279"/>
      <c r="J6" s="279"/>
      <c r="K6" s="279"/>
      <c r="L6" s="279"/>
      <c r="M6" s="279"/>
      <c r="N6" s="279"/>
      <c r="O6" s="279"/>
      <c r="P6" s="280"/>
    </row>
    <row r="7" spans="2:16" ht="15" customHeight="1" x14ac:dyDescent="0.25">
      <c r="B7" s="281"/>
      <c r="C7" s="61"/>
      <c r="D7" s="61"/>
      <c r="E7" s="61"/>
      <c r="F7" s="61"/>
      <c r="G7" s="61"/>
      <c r="H7" s="61"/>
      <c r="I7" s="61"/>
      <c r="J7" s="61"/>
      <c r="K7" s="61"/>
      <c r="L7" s="61"/>
      <c r="M7" s="61"/>
      <c r="N7" s="61"/>
      <c r="O7" s="61"/>
      <c r="P7" s="282"/>
    </row>
    <row r="8" spans="2:16" ht="15.75" customHeight="1" x14ac:dyDescent="0.25">
      <c r="B8" s="281"/>
      <c r="C8" s="61"/>
      <c r="D8" s="508" t="s">
        <v>337</v>
      </c>
      <c r="E8" s="508"/>
      <c r="F8" s="508"/>
      <c r="G8" s="508"/>
      <c r="H8" s="508"/>
      <c r="I8" s="508"/>
      <c r="J8" s="508"/>
      <c r="K8" s="508"/>
      <c r="L8" s="508"/>
      <c r="M8" s="508"/>
      <c r="N8" s="508"/>
      <c r="O8" s="61"/>
      <c r="P8" s="282"/>
    </row>
    <row r="9" spans="2:16" ht="15.75" customHeight="1" x14ac:dyDescent="0.25">
      <c r="B9" s="281"/>
      <c r="C9" s="61"/>
      <c r="D9" s="508" t="s">
        <v>338</v>
      </c>
      <c r="E9" s="509"/>
      <c r="F9" s="509"/>
      <c r="G9" s="510" t="s">
        <v>368</v>
      </c>
      <c r="H9" s="511"/>
      <c r="I9" s="511"/>
      <c r="J9" s="483"/>
      <c r="K9" s="483"/>
      <c r="L9" s="483"/>
      <c r="M9" s="483"/>
      <c r="N9" s="483"/>
      <c r="O9" s="61"/>
      <c r="P9" s="282"/>
    </row>
    <row r="10" spans="2:16" ht="15.75" customHeight="1" x14ac:dyDescent="0.25">
      <c r="B10" s="281"/>
      <c r="C10" s="61"/>
      <c r="D10" s="483"/>
      <c r="E10" s="483"/>
      <c r="F10" s="483"/>
      <c r="G10" s="483"/>
      <c r="H10" s="483"/>
      <c r="I10" s="483"/>
      <c r="J10" s="483"/>
      <c r="K10" s="483"/>
      <c r="L10" s="483"/>
      <c r="M10" s="483"/>
      <c r="N10" s="483"/>
      <c r="O10" s="61"/>
      <c r="P10" s="282"/>
    </row>
    <row r="11" spans="2:16" ht="15" customHeight="1" x14ac:dyDescent="0.25">
      <c r="B11" s="281"/>
      <c r="C11" s="61"/>
      <c r="D11" s="61" t="s">
        <v>7</v>
      </c>
      <c r="E11" s="61"/>
      <c r="F11" s="61"/>
      <c r="G11" s="61"/>
      <c r="H11" s="61"/>
      <c r="I11" s="482" t="s">
        <v>123</v>
      </c>
      <c r="J11" s="61"/>
      <c r="K11" s="61"/>
      <c r="L11" s="61"/>
      <c r="M11" s="61"/>
      <c r="N11" s="61"/>
      <c r="O11" s="61"/>
      <c r="P11" s="283"/>
    </row>
    <row r="12" spans="2:16" ht="15" customHeight="1" x14ac:dyDescent="0.25">
      <c r="B12" s="281"/>
      <c r="C12" s="61"/>
      <c r="D12" s="61" t="s">
        <v>274</v>
      </c>
      <c r="E12" s="61"/>
      <c r="F12" s="61"/>
      <c r="G12" s="61"/>
      <c r="H12" s="61"/>
      <c r="I12" s="61"/>
      <c r="J12" s="61"/>
      <c r="K12" s="61"/>
      <c r="L12" s="61"/>
      <c r="M12" s="61"/>
      <c r="N12" s="61"/>
      <c r="O12" s="61"/>
      <c r="P12" s="282"/>
    </row>
    <row r="13" spans="2:16" ht="15" customHeight="1" x14ac:dyDescent="0.25">
      <c r="B13" s="281"/>
      <c r="C13" s="61"/>
      <c r="D13" s="61"/>
      <c r="E13" s="61"/>
      <c r="F13" s="61"/>
      <c r="G13" s="61"/>
      <c r="H13" s="61"/>
      <c r="I13" s="61"/>
      <c r="J13" s="61"/>
      <c r="K13" s="61"/>
      <c r="L13" s="61"/>
      <c r="M13" s="61"/>
      <c r="N13" s="61"/>
      <c r="O13" s="61"/>
      <c r="P13" s="282"/>
    </row>
    <row r="14" spans="2:16" ht="15" customHeight="1" x14ac:dyDescent="0.25">
      <c r="B14" s="281"/>
      <c r="C14" s="61"/>
      <c r="D14" s="95" t="s">
        <v>160</v>
      </c>
      <c r="E14" s="61"/>
      <c r="F14" s="61"/>
      <c r="G14" s="61"/>
      <c r="H14" s="61"/>
      <c r="I14" s="61"/>
      <c r="J14" s="61"/>
      <c r="K14" s="61"/>
      <c r="L14" s="61"/>
      <c r="M14" s="61"/>
      <c r="N14" s="61"/>
      <c r="O14" s="61"/>
      <c r="P14" s="282"/>
    </row>
    <row r="15" spans="2:16" ht="15" customHeight="1" x14ac:dyDescent="0.25">
      <c r="B15" s="281"/>
      <c r="C15" s="61"/>
      <c r="D15" s="95"/>
      <c r="E15" s="61"/>
      <c r="F15" s="61"/>
      <c r="G15" s="61"/>
      <c r="H15" s="61"/>
      <c r="I15" s="61"/>
      <c r="J15" s="61"/>
      <c r="K15" s="61"/>
      <c r="L15" s="61"/>
      <c r="M15" s="61"/>
      <c r="N15" s="61"/>
      <c r="O15" s="61"/>
      <c r="P15" s="282"/>
    </row>
    <row r="16" spans="2:16" ht="15" customHeight="1" x14ac:dyDescent="0.25">
      <c r="B16" s="281"/>
      <c r="C16" s="61"/>
      <c r="D16" s="61" t="s">
        <v>153</v>
      </c>
      <c r="E16" s="61"/>
      <c r="F16" s="95" t="s">
        <v>154</v>
      </c>
      <c r="G16" s="61" t="s">
        <v>155</v>
      </c>
      <c r="H16" s="61"/>
      <c r="I16" s="61"/>
      <c r="J16" s="95" t="s">
        <v>152</v>
      </c>
      <c r="K16" s="61"/>
      <c r="L16" s="61"/>
      <c r="M16" s="61"/>
      <c r="N16" s="61"/>
      <c r="O16" s="61"/>
      <c r="P16" s="282"/>
    </row>
    <row r="17" spans="2:16" ht="15" customHeight="1" x14ac:dyDescent="0.25">
      <c r="B17" s="281"/>
      <c r="C17" s="61"/>
      <c r="D17" s="61" t="s">
        <v>275</v>
      </c>
      <c r="E17" s="61"/>
      <c r="F17" s="61"/>
      <c r="G17" s="61"/>
      <c r="H17" s="61"/>
      <c r="I17" s="61"/>
      <c r="J17" s="61"/>
      <c r="K17" s="61"/>
      <c r="L17" s="61"/>
      <c r="M17" s="61"/>
      <c r="N17" s="61"/>
      <c r="O17" s="61"/>
      <c r="P17" s="282"/>
    </row>
    <row r="18" spans="2:16" ht="15" customHeight="1" x14ac:dyDescent="0.25">
      <c r="B18" s="281"/>
      <c r="C18" s="61"/>
      <c r="D18" s="61"/>
      <c r="E18" s="61"/>
      <c r="F18" s="61"/>
      <c r="G18" s="61"/>
      <c r="H18" s="61"/>
      <c r="I18" s="61"/>
      <c r="J18" s="61"/>
      <c r="K18" s="61"/>
      <c r="L18" s="61"/>
      <c r="M18" s="61"/>
      <c r="N18" s="61"/>
      <c r="O18" s="61"/>
      <c r="P18" s="282"/>
    </row>
    <row r="19" spans="2:16" ht="15" customHeight="1" x14ac:dyDescent="0.25">
      <c r="B19" s="281"/>
      <c r="C19" s="61"/>
      <c r="D19" s="93" t="s">
        <v>129</v>
      </c>
      <c r="E19" s="93" t="s">
        <v>156</v>
      </c>
      <c r="F19" s="61"/>
      <c r="G19" s="61"/>
      <c r="H19" s="61"/>
      <c r="I19" s="61"/>
      <c r="J19" s="61"/>
      <c r="K19" s="61"/>
      <c r="L19" s="61"/>
      <c r="M19" s="61"/>
      <c r="N19" s="61"/>
      <c r="O19" s="61"/>
      <c r="P19" s="282"/>
    </row>
    <row r="20" spans="2:16" ht="15" customHeight="1" x14ac:dyDescent="0.25">
      <c r="B20" s="281"/>
      <c r="C20" s="61"/>
      <c r="D20" s="61"/>
      <c r="E20" s="506" t="s">
        <v>157</v>
      </c>
      <c r="F20" s="507"/>
      <c r="G20" s="507"/>
      <c r="H20" s="507"/>
      <c r="I20" s="507"/>
      <c r="J20" s="507"/>
      <c r="K20" s="507"/>
      <c r="L20" s="507"/>
      <c r="M20" s="507"/>
      <c r="N20" s="507"/>
      <c r="O20" s="284"/>
      <c r="P20" s="282"/>
    </row>
    <row r="21" spans="2:16" ht="15" customHeight="1" x14ac:dyDescent="0.25">
      <c r="B21" s="281"/>
      <c r="C21" s="61"/>
      <c r="D21" s="61"/>
      <c r="E21" s="288" t="s">
        <v>210</v>
      </c>
      <c r="F21" s="289" t="s">
        <v>211</v>
      </c>
      <c r="G21" s="289"/>
      <c r="H21" s="289"/>
      <c r="I21" s="289"/>
      <c r="J21" s="289"/>
      <c r="K21" s="289"/>
      <c r="L21" s="289"/>
      <c r="M21" s="289"/>
      <c r="N21" s="289"/>
      <c r="O21" s="284"/>
      <c r="P21" s="282"/>
    </row>
    <row r="22" spans="2:16" ht="15" customHeight="1" x14ac:dyDescent="0.25">
      <c r="B22" s="281"/>
      <c r="C22" s="61"/>
      <c r="D22" s="61"/>
      <c r="E22" s="288" t="s">
        <v>210</v>
      </c>
      <c r="F22" s="289" t="s">
        <v>212</v>
      </c>
      <c r="G22" s="289"/>
      <c r="H22" s="289"/>
      <c r="I22" s="289"/>
      <c r="J22" s="289"/>
      <c r="K22" s="289"/>
      <c r="L22" s="289"/>
      <c r="M22" s="289"/>
      <c r="N22" s="289"/>
      <c r="O22" s="284"/>
      <c r="P22" s="282"/>
    </row>
    <row r="23" spans="2:16" ht="15" customHeight="1" x14ac:dyDescent="0.25">
      <c r="B23" s="281"/>
      <c r="C23" s="61"/>
      <c r="D23" s="61"/>
      <c r="E23" s="288" t="s">
        <v>210</v>
      </c>
      <c r="F23" s="289" t="s">
        <v>213</v>
      </c>
      <c r="G23" s="289"/>
      <c r="H23" s="289"/>
      <c r="I23" s="289"/>
      <c r="J23" s="289"/>
      <c r="K23" s="289"/>
      <c r="L23" s="289"/>
      <c r="M23" s="289"/>
      <c r="N23" s="289"/>
      <c r="O23" s="284"/>
      <c r="P23" s="282"/>
    </row>
    <row r="24" spans="2:16" ht="15" customHeight="1" x14ac:dyDescent="0.25">
      <c r="B24" s="281"/>
      <c r="C24" s="61"/>
      <c r="D24" s="61"/>
      <c r="E24" s="288" t="s">
        <v>210</v>
      </c>
      <c r="F24" s="289" t="s">
        <v>214</v>
      </c>
      <c r="G24" s="289"/>
      <c r="H24" s="289"/>
      <c r="I24" s="289"/>
      <c r="J24" s="289"/>
      <c r="K24" s="289"/>
      <c r="L24" s="289"/>
      <c r="M24" s="289"/>
      <c r="N24" s="289"/>
      <c r="O24" s="284"/>
      <c r="P24" s="282"/>
    </row>
    <row r="25" spans="2:16" ht="15" customHeight="1" x14ac:dyDescent="0.25">
      <c r="B25" s="281"/>
      <c r="C25" s="61"/>
      <c r="D25" s="61"/>
      <c r="E25" s="290" t="s">
        <v>210</v>
      </c>
      <c r="F25" s="291" t="s">
        <v>276</v>
      </c>
      <c r="G25" s="291"/>
      <c r="H25" s="291"/>
      <c r="I25" s="291"/>
      <c r="J25" s="291"/>
      <c r="K25" s="291"/>
      <c r="L25" s="291"/>
      <c r="M25" s="291"/>
      <c r="N25" s="291"/>
      <c r="O25" s="61"/>
      <c r="P25" s="282"/>
    </row>
    <row r="26" spans="2:16" ht="15" customHeight="1" x14ac:dyDescent="0.25">
      <c r="B26" s="281"/>
      <c r="C26" s="61"/>
      <c r="D26" s="61"/>
      <c r="E26" s="290" t="s">
        <v>215</v>
      </c>
      <c r="F26" s="291" t="s">
        <v>258</v>
      </c>
      <c r="G26" s="291"/>
      <c r="H26" s="291"/>
      <c r="I26" s="291"/>
      <c r="J26" s="291"/>
      <c r="K26" s="291"/>
      <c r="L26" s="291"/>
      <c r="M26" s="291"/>
      <c r="N26" s="291"/>
      <c r="O26" s="61"/>
      <c r="P26" s="282"/>
    </row>
    <row r="27" spans="2:16" ht="15" customHeight="1" x14ac:dyDescent="0.25">
      <c r="B27" s="281"/>
      <c r="C27" s="61"/>
      <c r="D27" s="61"/>
      <c r="E27" s="290" t="s">
        <v>215</v>
      </c>
      <c r="F27" s="291" t="s">
        <v>277</v>
      </c>
      <c r="G27" s="291"/>
      <c r="H27" s="291"/>
      <c r="I27" s="291"/>
      <c r="J27" s="291"/>
      <c r="K27" s="291"/>
      <c r="L27" s="291"/>
      <c r="M27" s="291"/>
      <c r="N27" s="291"/>
      <c r="O27" s="61"/>
      <c r="P27" s="282"/>
    </row>
    <row r="28" spans="2:16" ht="15" customHeight="1" x14ac:dyDescent="0.25">
      <c r="B28" s="281"/>
      <c r="C28" s="61"/>
      <c r="D28" s="61"/>
      <c r="E28" s="290" t="s">
        <v>210</v>
      </c>
      <c r="F28" s="291" t="s">
        <v>259</v>
      </c>
      <c r="G28" s="291"/>
      <c r="H28" s="291"/>
      <c r="I28" s="291"/>
      <c r="J28" s="291"/>
      <c r="K28" s="291"/>
      <c r="L28" s="291"/>
      <c r="M28" s="291"/>
      <c r="N28" s="291"/>
      <c r="O28" s="61"/>
      <c r="P28" s="282"/>
    </row>
    <row r="29" spans="2:16" ht="15" customHeight="1" x14ac:dyDescent="0.25">
      <c r="B29" s="281"/>
      <c r="C29" s="61"/>
      <c r="D29" s="61"/>
      <c r="E29" s="290" t="s">
        <v>215</v>
      </c>
      <c r="F29" s="291" t="s">
        <v>216</v>
      </c>
      <c r="G29" s="291"/>
      <c r="H29" s="291"/>
      <c r="I29" s="291"/>
      <c r="J29" s="291"/>
      <c r="K29" s="291"/>
      <c r="L29" s="291"/>
      <c r="M29" s="291"/>
      <c r="N29" s="291"/>
      <c r="O29" s="61"/>
      <c r="P29" s="282"/>
    </row>
    <row r="30" spans="2:16" ht="15" customHeight="1" x14ac:dyDescent="0.25">
      <c r="B30" s="281"/>
      <c r="C30" s="61"/>
      <c r="D30" s="61"/>
      <c r="E30" s="290" t="s">
        <v>215</v>
      </c>
      <c r="F30" s="291" t="s">
        <v>217</v>
      </c>
      <c r="G30" s="291"/>
      <c r="H30" s="291"/>
      <c r="I30" s="291"/>
      <c r="J30" s="291"/>
      <c r="K30" s="291"/>
      <c r="L30" s="291"/>
      <c r="M30" s="291"/>
      <c r="N30" s="291"/>
      <c r="O30" s="61"/>
      <c r="P30" s="282"/>
    </row>
    <row r="31" spans="2:16" ht="15" customHeight="1" x14ac:dyDescent="0.25">
      <c r="B31" s="281"/>
      <c r="C31" s="61"/>
      <c r="D31" s="61"/>
      <c r="E31" s="290" t="s">
        <v>210</v>
      </c>
      <c r="F31" s="291" t="s">
        <v>278</v>
      </c>
      <c r="G31" s="291"/>
      <c r="H31" s="291"/>
      <c r="I31" s="291"/>
      <c r="J31" s="291"/>
      <c r="K31" s="291"/>
      <c r="L31" s="291"/>
      <c r="M31" s="291"/>
      <c r="N31" s="291"/>
      <c r="O31" s="61"/>
      <c r="P31" s="282"/>
    </row>
    <row r="32" spans="2:16" ht="15" customHeight="1" x14ac:dyDescent="0.25">
      <c r="B32" s="281"/>
      <c r="C32" s="61"/>
      <c r="D32" s="61"/>
      <c r="E32" s="62"/>
      <c r="F32" s="61"/>
      <c r="G32" s="61"/>
      <c r="H32" s="61"/>
      <c r="I32" s="61"/>
      <c r="J32" s="61"/>
      <c r="K32" s="61"/>
      <c r="L32" s="61"/>
      <c r="M32" s="61"/>
      <c r="N32" s="61"/>
      <c r="O32" s="61"/>
      <c r="P32" s="282"/>
    </row>
    <row r="33" spans="2:16" ht="15" customHeight="1" x14ac:dyDescent="0.25">
      <c r="B33" s="281"/>
      <c r="C33" s="61"/>
      <c r="D33" s="93" t="s">
        <v>130</v>
      </c>
      <c r="E33" s="96" t="s">
        <v>158</v>
      </c>
      <c r="F33" s="61"/>
      <c r="G33" s="61"/>
      <c r="H33" s="61"/>
      <c r="I33" s="61"/>
      <c r="J33" s="61"/>
      <c r="K33" s="61"/>
      <c r="L33" s="61"/>
      <c r="M33" s="61"/>
      <c r="N33" s="61"/>
      <c r="O33" s="61"/>
      <c r="P33" s="282"/>
    </row>
    <row r="34" spans="2:16" ht="15" customHeight="1" x14ac:dyDescent="0.25">
      <c r="B34" s="281"/>
      <c r="C34" s="61"/>
      <c r="D34" s="61"/>
      <c r="E34" s="291" t="s">
        <v>279</v>
      </c>
      <c r="F34" s="291"/>
      <c r="G34" s="291"/>
      <c r="H34" s="291"/>
      <c r="I34" s="291"/>
      <c r="J34" s="291"/>
      <c r="K34" s="291"/>
      <c r="L34" s="291"/>
      <c r="M34" s="291"/>
      <c r="N34" s="291"/>
      <c r="O34" s="61"/>
      <c r="P34" s="282"/>
    </row>
    <row r="35" spans="2:16" ht="15" customHeight="1" x14ac:dyDescent="0.25">
      <c r="B35" s="281"/>
      <c r="C35" s="61"/>
      <c r="D35" s="61"/>
      <c r="E35" s="288" t="s">
        <v>210</v>
      </c>
      <c r="F35" s="289" t="s">
        <v>211</v>
      </c>
      <c r="G35" s="291"/>
      <c r="H35" s="291"/>
      <c r="I35" s="291"/>
      <c r="J35" s="291"/>
      <c r="K35" s="291"/>
      <c r="L35" s="291"/>
      <c r="M35" s="291"/>
      <c r="N35" s="291"/>
      <c r="O35" s="61"/>
      <c r="P35" s="282"/>
    </row>
    <row r="36" spans="2:16" ht="15" customHeight="1" x14ac:dyDescent="0.25">
      <c r="B36" s="281"/>
      <c r="C36" s="61"/>
      <c r="D36" s="61"/>
      <c r="E36" s="288" t="s">
        <v>210</v>
      </c>
      <c r="F36" s="289" t="s">
        <v>212</v>
      </c>
      <c r="G36" s="291"/>
      <c r="H36" s="291"/>
      <c r="I36" s="291"/>
      <c r="J36" s="291"/>
      <c r="K36" s="291"/>
      <c r="L36" s="291"/>
      <c r="M36" s="291"/>
      <c r="N36" s="291"/>
      <c r="O36" s="61"/>
      <c r="P36" s="282"/>
    </row>
    <row r="37" spans="2:16" ht="15" customHeight="1" x14ac:dyDescent="0.25">
      <c r="B37" s="281"/>
      <c r="C37" s="61"/>
      <c r="D37" s="61"/>
      <c r="E37" s="290" t="s">
        <v>215</v>
      </c>
      <c r="F37" s="291" t="s">
        <v>276</v>
      </c>
      <c r="G37" s="291"/>
      <c r="H37" s="291"/>
      <c r="I37" s="291"/>
      <c r="J37" s="291"/>
      <c r="K37" s="291"/>
      <c r="L37" s="291"/>
      <c r="M37" s="291"/>
      <c r="N37" s="291"/>
      <c r="O37" s="61"/>
      <c r="P37" s="282"/>
    </row>
    <row r="38" spans="2:16" ht="15" customHeight="1" x14ac:dyDescent="0.25">
      <c r="B38" s="281"/>
      <c r="C38" s="61"/>
      <c r="D38" s="61"/>
      <c r="E38" s="290" t="s">
        <v>210</v>
      </c>
      <c r="F38" s="291" t="s">
        <v>280</v>
      </c>
      <c r="G38" s="291"/>
      <c r="H38" s="291"/>
      <c r="I38" s="291"/>
      <c r="J38" s="291"/>
      <c r="K38" s="291"/>
      <c r="L38" s="291"/>
      <c r="M38" s="291"/>
      <c r="N38" s="291"/>
      <c r="O38" s="61"/>
      <c r="P38" s="282"/>
    </row>
    <row r="39" spans="2:16" ht="15" customHeight="1" x14ac:dyDescent="0.25">
      <c r="B39" s="281"/>
      <c r="C39" s="61"/>
      <c r="D39" s="61"/>
      <c r="E39" s="290" t="s">
        <v>215</v>
      </c>
      <c r="F39" s="291" t="s">
        <v>277</v>
      </c>
      <c r="G39" s="291"/>
      <c r="H39" s="291"/>
      <c r="I39" s="291"/>
      <c r="J39" s="292" t="s">
        <v>287</v>
      </c>
      <c r="K39" s="291"/>
      <c r="L39" s="291"/>
      <c r="M39" s="291"/>
      <c r="N39" s="291"/>
      <c r="O39" s="61"/>
      <c r="P39" s="282"/>
    </row>
    <row r="40" spans="2:16" ht="15" customHeight="1" x14ac:dyDescent="0.25">
      <c r="B40" s="281"/>
      <c r="C40" s="61"/>
      <c r="D40" s="61"/>
      <c r="E40" s="290" t="s">
        <v>215</v>
      </c>
      <c r="F40" s="291" t="s">
        <v>286</v>
      </c>
      <c r="G40" s="291"/>
      <c r="H40" s="291"/>
      <c r="I40" s="291"/>
      <c r="J40" s="291"/>
      <c r="K40" s="291"/>
      <c r="L40" s="291"/>
      <c r="M40" s="291"/>
      <c r="N40" s="291"/>
      <c r="O40" s="61"/>
      <c r="P40" s="282"/>
    </row>
    <row r="41" spans="2:16" ht="15" customHeight="1" x14ac:dyDescent="0.25">
      <c r="B41" s="281"/>
      <c r="C41" s="61"/>
      <c r="D41" s="61"/>
      <c r="E41" s="290" t="s">
        <v>210</v>
      </c>
      <c r="F41" s="291" t="s">
        <v>218</v>
      </c>
      <c r="G41" s="291"/>
      <c r="H41" s="291"/>
      <c r="I41" s="291"/>
      <c r="J41" s="291"/>
      <c r="K41" s="291"/>
      <c r="L41" s="291"/>
      <c r="M41" s="291"/>
      <c r="N41" s="291"/>
      <c r="O41" s="61"/>
      <c r="P41" s="282"/>
    </row>
    <row r="42" spans="2:16" ht="15" customHeight="1" x14ac:dyDescent="0.25">
      <c r="B42" s="281"/>
      <c r="C42" s="61"/>
      <c r="D42" s="61"/>
      <c r="E42" s="62"/>
      <c r="F42" s="61"/>
      <c r="G42" s="61"/>
      <c r="H42" s="61"/>
      <c r="I42" s="61"/>
      <c r="J42" s="61"/>
      <c r="K42" s="61"/>
      <c r="L42" s="61"/>
      <c r="M42" s="61"/>
      <c r="N42" s="61"/>
      <c r="O42" s="61"/>
      <c r="P42" s="282"/>
    </row>
    <row r="43" spans="2:16" ht="15" customHeight="1" x14ac:dyDescent="0.25">
      <c r="B43" s="281"/>
      <c r="C43" s="61"/>
      <c r="D43" s="94" t="s">
        <v>131</v>
      </c>
      <c r="E43" s="96" t="s">
        <v>159</v>
      </c>
      <c r="F43" s="61"/>
      <c r="G43" s="61"/>
      <c r="H43" s="61"/>
      <c r="I43" s="61"/>
      <c r="J43" s="61"/>
      <c r="K43" s="61"/>
      <c r="L43" s="61"/>
      <c r="M43" s="61"/>
      <c r="N43" s="61"/>
      <c r="O43" s="61"/>
      <c r="P43" s="282"/>
    </row>
    <row r="44" spans="2:16" ht="27" customHeight="1" x14ac:dyDescent="0.25">
      <c r="B44" s="281"/>
      <c r="C44" s="61"/>
      <c r="D44" s="61"/>
      <c r="E44" s="505" t="s">
        <v>132</v>
      </c>
      <c r="F44" s="513"/>
      <c r="G44" s="513"/>
      <c r="H44" s="513"/>
      <c r="I44" s="513"/>
      <c r="J44" s="513"/>
      <c r="K44" s="513"/>
      <c r="L44" s="513"/>
      <c r="M44" s="513"/>
      <c r="N44" s="513"/>
      <c r="O44" s="216"/>
      <c r="P44" s="282"/>
    </row>
    <row r="45" spans="2:16" ht="15" customHeight="1" x14ac:dyDescent="0.25">
      <c r="B45" s="281"/>
      <c r="C45" s="61"/>
      <c r="D45" s="61"/>
      <c r="E45" s="291" t="s">
        <v>281</v>
      </c>
      <c r="F45" s="291"/>
      <c r="G45" s="291"/>
      <c r="H45" s="291"/>
      <c r="I45" s="291"/>
      <c r="J45" s="291"/>
      <c r="K45" s="291"/>
      <c r="L45" s="291"/>
      <c r="M45" s="291"/>
      <c r="N45" s="291"/>
      <c r="O45" s="61"/>
      <c r="P45" s="282"/>
    </row>
    <row r="46" spans="2:16" ht="15" customHeight="1" x14ac:dyDescent="0.25">
      <c r="B46" s="281"/>
      <c r="C46" s="61"/>
      <c r="D46" s="61"/>
      <c r="E46" s="61"/>
      <c r="F46" s="61"/>
      <c r="G46" s="61"/>
      <c r="H46" s="61"/>
      <c r="I46" s="61"/>
      <c r="J46" s="61"/>
      <c r="K46" s="61"/>
      <c r="L46" s="61"/>
      <c r="M46" s="61"/>
      <c r="N46" s="61"/>
      <c r="O46" s="61"/>
      <c r="P46" s="282"/>
    </row>
    <row r="47" spans="2:16" ht="15" customHeight="1" x14ac:dyDescent="0.25">
      <c r="B47" s="281"/>
      <c r="C47" s="61"/>
      <c r="D47" s="95" t="s">
        <v>161</v>
      </c>
      <c r="E47" s="61"/>
      <c r="F47" s="61"/>
      <c r="G47" s="61"/>
      <c r="H47" s="61"/>
      <c r="I47" s="61"/>
      <c r="J47" s="61"/>
      <c r="K47" s="61"/>
      <c r="L47" s="61"/>
      <c r="M47" s="61"/>
      <c r="N47" s="61"/>
      <c r="O47" s="61"/>
      <c r="P47" s="282"/>
    </row>
    <row r="48" spans="2:16" ht="15" customHeight="1" x14ac:dyDescent="0.25">
      <c r="B48" s="281"/>
      <c r="C48" s="61"/>
      <c r="D48" s="95"/>
      <c r="E48" s="61" t="s">
        <v>164</v>
      </c>
      <c r="F48" s="61"/>
      <c r="G48" s="61"/>
      <c r="H48" s="61"/>
      <c r="I48" s="61"/>
      <c r="J48" s="61"/>
      <c r="K48" s="95" t="s">
        <v>162</v>
      </c>
      <c r="L48" s="61" t="s">
        <v>283</v>
      </c>
      <c r="M48" s="95" t="s">
        <v>165</v>
      </c>
      <c r="N48" s="61"/>
      <c r="O48" s="61"/>
      <c r="P48" s="282"/>
    </row>
    <row r="49" spans="2:16" ht="28.5" customHeight="1" x14ac:dyDescent="0.25">
      <c r="B49" s="281"/>
      <c r="C49" s="61"/>
      <c r="D49" s="94" t="s">
        <v>163</v>
      </c>
      <c r="E49" s="505" t="s">
        <v>282</v>
      </c>
      <c r="F49" s="505"/>
      <c r="G49" s="505"/>
      <c r="H49" s="505"/>
      <c r="I49" s="505"/>
      <c r="J49" s="505"/>
      <c r="K49" s="505"/>
      <c r="L49" s="505"/>
      <c r="M49" s="505"/>
      <c r="N49" s="505"/>
      <c r="O49" s="61"/>
      <c r="P49" s="282"/>
    </row>
    <row r="50" spans="2:16" ht="15" customHeight="1" x14ac:dyDescent="0.25">
      <c r="B50" s="281"/>
      <c r="C50" s="61"/>
      <c r="D50" s="61"/>
      <c r="E50" s="61"/>
      <c r="F50" s="61"/>
      <c r="G50" s="61"/>
      <c r="H50" s="61"/>
      <c r="I50" s="61"/>
      <c r="J50" s="61"/>
      <c r="K50" s="61"/>
      <c r="L50" s="61"/>
      <c r="M50" s="61"/>
      <c r="N50" s="61"/>
      <c r="O50" s="61"/>
      <c r="P50" s="282"/>
    </row>
    <row r="51" spans="2:16" ht="60" customHeight="1" x14ac:dyDescent="0.25">
      <c r="B51" s="281"/>
      <c r="C51" s="61"/>
      <c r="D51" s="94" t="s">
        <v>166</v>
      </c>
      <c r="E51" s="505" t="s">
        <v>288</v>
      </c>
      <c r="F51" s="505"/>
      <c r="G51" s="505"/>
      <c r="H51" s="505"/>
      <c r="I51" s="505"/>
      <c r="J51" s="505"/>
      <c r="K51" s="505"/>
      <c r="L51" s="505"/>
      <c r="M51" s="505"/>
      <c r="N51" s="505"/>
      <c r="O51" s="61"/>
      <c r="P51" s="282"/>
    </row>
    <row r="52" spans="2:16" ht="15" customHeight="1" x14ac:dyDescent="0.25">
      <c r="B52" s="281"/>
      <c r="C52" s="61"/>
      <c r="D52" s="61"/>
      <c r="E52" s="61"/>
      <c r="F52" s="61"/>
      <c r="G52" s="61"/>
      <c r="H52" s="61"/>
      <c r="I52" s="61"/>
      <c r="J52" s="61"/>
      <c r="K52" s="61"/>
      <c r="L52" s="61"/>
      <c r="M52" s="61"/>
      <c r="N52" s="61"/>
      <c r="O52" s="61"/>
      <c r="P52" s="282"/>
    </row>
    <row r="53" spans="2:16" ht="15" customHeight="1" x14ac:dyDescent="0.25">
      <c r="B53" s="281"/>
      <c r="C53" s="61"/>
      <c r="D53" s="93" t="s">
        <v>183</v>
      </c>
      <c r="E53" s="61" t="s">
        <v>289</v>
      </c>
      <c r="F53" s="61"/>
      <c r="G53" s="61"/>
      <c r="H53" s="61"/>
      <c r="I53" s="61"/>
      <c r="J53" s="61"/>
      <c r="K53" s="95" t="s">
        <v>184</v>
      </c>
      <c r="L53" s="61"/>
      <c r="M53" s="61"/>
      <c r="N53" s="61"/>
      <c r="O53" s="61"/>
      <c r="P53" s="282"/>
    </row>
    <row r="54" spans="2:16" ht="15" customHeight="1" x14ac:dyDescent="0.25">
      <c r="B54" s="281"/>
      <c r="C54" s="61"/>
      <c r="D54" s="93"/>
      <c r="E54" s="506" t="s">
        <v>290</v>
      </c>
      <c r="F54" s="507"/>
      <c r="G54" s="507"/>
      <c r="H54" s="507"/>
      <c r="I54" s="507"/>
      <c r="J54" s="507"/>
      <c r="K54" s="507"/>
      <c r="L54" s="507"/>
      <c r="M54" s="507"/>
      <c r="N54" s="507"/>
      <c r="O54" s="61"/>
      <c r="P54" s="282"/>
    </row>
    <row r="55" spans="2:16" ht="15" customHeight="1" x14ac:dyDescent="0.25">
      <c r="B55" s="281"/>
      <c r="C55" s="61"/>
      <c r="D55" s="93"/>
      <c r="E55" s="61"/>
      <c r="F55" s="61"/>
      <c r="G55" s="61"/>
      <c r="H55" s="61"/>
      <c r="I55" s="61"/>
      <c r="J55" s="61"/>
      <c r="K55" s="95"/>
      <c r="L55" s="61"/>
      <c r="M55" s="61"/>
      <c r="N55" s="61"/>
      <c r="O55" s="61"/>
      <c r="P55" s="282"/>
    </row>
    <row r="56" spans="2:16" ht="15" customHeight="1" thickBot="1" x14ac:dyDescent="0.3">
      <c r="B56" s="285"/>
      <c r="C56" s="286"/>
      <c r="D56" s="286"/>
      <c r="E56" s="286"/>
      <c r="F56" s="286"/>
      <c r="G56" s="286"/>
      <c r="H56" s="286"/>
      <c r="I56" s="286"/>
      <c r="J56" s="286"/>
      <c r="K56" s="286"/>
      <c r="L56" s="286"/>
      <c r="M56" s="286"/>
      <c r="N56" s="286"/>
      <c r="O56" s="286"/>
      <c r="P56" s="287"/>
    </row>
    <row r="57" spans="2:16" ht="15" customHeight="1" thickTop="1" x14ac:dyDescent="0.25"/>
  </sheetData>
  <sheetProtection algorithmName="SHA-512" hashValue="Cw4C1re9jpyFOqUBWnXycVBzqucRx8gwSsm7WgnRS40XEEBV77/SlRhSmSGO0M4WccjjcvQ6S0aAIRxtXDBMRQ==" saltValue="mn/mbF6Y64gtHsG+F2dk0w==" spinCount="100000" sheet="1" objects="1" scenarios="1"/>
  <mergeCells count="9">
    <mergeCell ref="E51:N51"/>
    <mergeCell ref="E54:N54"/>
    <mergeCell ref="D9:F9"/>
    <mergeCell ref="G9:I9"/>
    <mergeCell ref="D4:L4"/>
    <mergeCell ref="E44:N44"/>
    <mergeCell ref="E20:N20"/>
    <mergeCell ref="D8:N8"/>
    <mergeCell ref="E49:N49"/>
  </mergeCells>
  <hyperlinks>
    <hyperlink ref="G9:I9" r:id="rId1" display="Werkgeverlasten PO 2023"/>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3"/>
  <dimension ref="A1:AS248"/>
  <sheetViews>
    <sheetView topLeftCell="A7" zoomScaleNormal="100" workbookViewId="0">
      <selection activeCell="F19" sqref="F19"/>
    </sheetView>
  </sheetViews>
  <sheetFormatPr defaultColWidth="9.140625" defaultRowHeight="15" x14ac:dyDescent="0.25"/>
  <cols>
    <col min="1" max="1" width="3.28515625" style="37" customWidth="1"/>
    <col min="2" max="2" width="3" style="37" customWidth="1"/>
    <col min="3" max="3" width="2.5703125" style="65" customWidth="1"/>
    <col min="4" max="4" width="29" style="65" bestFit="1" customWidth="1"/>
    <col min="5" max="6" width="13.7109375" style="65" customWidth="1"/>
    <col min="7" max="7" width="2.7109375" style="65" customWidth="1"/>
    <col min="8" max="8" width="1.7109375" style="37" customWidth="1"/>
    <col min="9" max="9" width="2.85546875" style="37" customWidth="1"/>
    <col min="10" max="10" width="2.5703125" style="37" customWidth="1"/>
    <col min="11" max="11" width="1.85546875" style="37" customWidth="1"/>
    <col min="12" max="12" width="26.5703125" style="37" bestFit="1" customWidth="1"/>
    <col min="13" max="14" width="13.7109375" style="37" customWidth="1"/>
    <col min="15" max="15" width="1.7109375" style="37" customWidth="1"/>
    <col min="16" max="17" width="2.28515625" style="37" customWidth="1"/>
    <col min="18" max="18" width="3.28515625" style="37" customWidth="1"/>
    <col min="19" max="19" width="1.85546875" style="37" customWidth="1"/>
    <col min="20" max="20" width="39.85546875" style="37" bestFit="1" customWidth="1"/>
    <col min="21" max="22" width="13.7109375" style="65" customWidth="1"/>
    <col min="23" max="23" width="2.28515625" style="65" customWidth="1"/>
    <col min="24" max="24" width="2.85546875" style="37" customWidth="1"/>
    <col min="25" max="31" width="9.140625" style="37"/>
    <col min="32" max="16384" width="9.140625" style="65"/>
  </cols>
  <sheetData>
    <row r="1" spans="2:45" s="37" customFormat="1" x14ac:dyDescent="0.25"/>
    <row r="2" spans="2:45" s="37" customFormat="1" x14ac:dyDescent="0.25"/>
    <row r="3" spans="2:45" s="37" customFormat="1" x14ac:dyDescent="0.25"/>
    <row r="4" spans="2:45" s="37" customFormat="1" x14ac:dyDescent="0.25"/>
    <row r="5" spans="2:45" s="37" customFormat="1" x14ac:dyDescent="0.25"/>
    <row r="6" spans="2:45" s="37" customFormat="1" x14ac:dyDescent="0.25"/>
    <row r="7" spans="2:45" s="37" customFormat="1" ht="15.75" thickBot="1" x14ac:dyDescent="0.3"/>
    <row r="8" spans="2:45" s="37" customFormat="1" ht="15.75" thickTop="1" x14ac:dyDescent="0.25">
      <c r="B8" s="175"/>
      <c r="C8" s="176"/>
      <c r="D8" s="177"/>
      <c r="E8" s="177"/>
      <c r="F8" s="177"/>
      <c r="G8" s="177"/>
      <c r="H8" s="178"/>
      <c r="I8" s="64"/>
      <c r="J8" s="175"/>
      <c r="K8" s="176"/>
      <c r="L8" s="176"/>
      <c r="M8" s="176"/>
      <c r="N8" s="176"/>
      <c r="O8" s="176"/>
      <c r="P8" s="186"/>
      <c r="Q8" s="39"/>
      <c r="R8" s="175"/>
      <c r="S8" s="176"/>
      <c r="T8" s="176"/>
      <c r="U8" s="176"/>
      <c r="V8" s="176"/>
      <c r="W8" s="176"/>
      <c r="X8" s="186"/>
    </row>
    <row r="9" spans="2:45" s="37" customFormat="1" ht="23.25" x14ac:dyDescent="0.25">
      <c r="B9" s="179"/>
      <c r="C9" s="173" t="s">
        <v>147</v>
      </c>
      <c r="D9" s="39"/>
      <c r="E9" s="41"/>
      <c r="F9" s="41"/>
      <c r="G9" s="41"/>
      <c r="H9" s="180"/>
      <c r="I9" s="64"/>
      <c r="J9" s="179"/>
      <c r="K9" s="173" t="s">
        <v>128</v>
      </c>
      <c r="L9" s="174"/>
      <c r="M9" s="39"/>
      <c r="N9" s="39"/>
      <c r="O9" s="39"/>
      <c r="P9" s="181"/>
      <c r="Q9" s="39"/>
      <c r="R9" s="179"/>
      <c r="S9" s="173" t="s">
        <v>249</v>
      </c>
      <c r="T9" s="39"/>
      <c r="U9" s="39"/>
      <c r="V9" s="39"/>
      <c r="W9" s="39"/>
      <c r="X9" s="181"/>
    </row>
    <row r="10" spans="2:45" s="37" customFormat="1" x14ac:dyDescent="0.25">
      <c r="B10" s="179"/>
      <c r="C10" s="39"/>
      <c r="D10" s="41"/>
      <c r="E10" s="41"/>
      <c r="F10" s="41"/>
      <c r="G10" s="41"/>
      <c r="H10" s="180"/>
      <c r="I10" s="64"/>
      <c r="J10" s="179"/>
      <c r="K10" s="39"/>
      <c r="L10" s="39"/>
      <c r="M10" s="39"/>
      <c r="N10" s="39"/>
      <c r="O10" s="39"/>
      <c r="P10" s="181"/>
      <c r="Q10" s="39"/>
      <c r="R10" s="179"/>
      <c r="S10" s="39"/>
      <c r="T10" s="39"/>
      <c r="U10" s="39"/>
      <c r="V10" s="39"/>
      <c r="W10" s="39"/>
      <c r="X10" s="181"/>
    </row>
    <row r="11" spans="2:45" ht="15" customHeight="1" x14ac:dyDescent="0.25">
      <c r="B11" s="179"/>
      <c r="C11" s="38"/>
      <c r="D11" s="40"/>
      <c r="E11" s="40"/>
      <c r="F11" s="40"/>
      <c r="G11" s="38"/>
      <c r="H11" s="181"/>
      <c r="J11" s="179"/>
      <c r="K11" s="40"/>
      <c r="L11" s="40"/>
      <c r="M11" s="40"/>
      <c r="N11" s="40"/>
      <c r="O11" s="40"/>
      <c r="P11" s="181"/>
      <c r="Q11" s="39"/>
      <c r="R11" s="179"/>
      <c r="S11" s="38"/>
      <c r="T11" s="42"/>
      <c r="U11" s="188" t="s">
        <v>124</v>
      </c>
      <c r="V11" s="188" t="s">
        <v>125</v>
      </c>
      <c r="W11" s="38"/>
      <c r="X11" s="181"/>
      <c r="AF11" s="37"/>
      <c r="AG11" s="37"/>
      <c r="AH11" s="37"/>
      <c r="AI11" s="37"/>
      <c r="AJ11" s="37"/>
      <c r="AK11" s="37"/>
      <c r="AL11" s="37"/>
      <c r="AM11" s="37"/>
      <c r="AN11" s="37"/>
      <c r="AO11" s="37"/>
      <c r="AP11" s="37"/>
      <c r="AQ11" s="37"/>
      <c r="AR11" s="37"/>
      <c r="AS11" s="37"/>
    </row>
    <row r="12" spans="2:45" x14ac:dyDescent="0.25">
      <c r="B12" s="179"/>
      <c r="C12" s="38"/>
      <c r="D12" s="66" t="s">
        <v>100</v>
      </c>
      <c r="E12" s="67"/>
      <c r="F12" s="68"/>
      <c r="G12" s="38"/>
      <c r="H12" s="181"/>
      <c r="J12" s="179"/>
      <c r="K12" s="40"/>
      <c r="L12" s="66" t="s">
        <v>100</v>
      </c>
      <c r="M12" s="67"/>
      <c r="N12" s="68"/>
      <c r="O12" s="40"/>
      <c r="P12" s="181"/>
      <c r="Q12" s="39"/>
      <c r="R12" s="179"/>
      <c r="S12" s="38"/>
      <c r="T12" s="104" t="s">
        <v>271</v>
      </c>
      <c r="U12" s="214">
        <v>0.15</v>
      </c>
      <c r="V12" s="215">
        <v>0.08</v>
      </c>
      <c r="W12" s="38"/>
      <c r="X12" s="181"/>
      <c r="AF12" s="37"/>
      <c r="AG12" s="37"/>
      <c r="AH12" s="37"/>
      <c r="AI12" s="37"/>
      <c r="AJ12" s="37"/>
      <c r="AK12" s="37"/>
      <c r="AL12" s="37"/>
      <c r="AM12" s="37"/>
      <c r="AN12" s="37"/>
      <c r="AO12" s="37"/>
      <c r="AP12" s="37"/>
      <c r="AQ12" s="37"/>
      <c r="AR12" s="37"/>
      <c r="AS12" s="37"/>
    </row>
    <row r="13" spans="2:45" x14ac:dyDescent="0.25">
      <c r="B13" s="179"/>
      <c r="C13" s="38"/>
      <c r="D13" s="125" t="s">
        <v>211</v>
      </c>
      <c r="E13" s="516" t="s">
        <v>342</v>
      </c>
      <c r="F13" s="517"/>
      <c r="G13" s="38"/>
      <c r="H13" s="181"/>
      <c r="J13" s="179"/>
      <c r="K13" s="38"/>
      <c r="L13" s="125" t="s">
        <v>211</v>
      </c>
      <c r="M13" s="516" t="s">
        <v>343</v>
      </c>
      <c r="N13" s="522"/>
      <c r="O13" s="38"/>
      <c r="P13" s="181"/>
      <c r="Q13" s="39"/>
      <c r="R13" s="179"/>
      <c r="S13" s="38"/>
      <c r="T13" s="38"/>
      <c r="U13" s="38"/>
      <c r="V13" s="38"/>
      <c r="W13" s="38"/>
      <c r="X13" s="181"/>
      <c r="AF13" s="37"/>
      <c r="AG13" s="37"/>
      <c r="AH13" s="37"/>
      <c r="AI13" s="37"/>
      <c r="AJ13" s="37"/>
      <c r="AK13" s="37"/>
      <c r="AL13" s="37"/>
      <c r="AM13" s="37"/>
      <c r="AN13" s="37"/>
      <c r="AO13" s="37"/>
      <c r="AP13" s="37"/>
      <c r="AQ13" s="37"/>
      <c r="AR13" s="37"/>
      <c r="AS13" s="37"/>
    </row>
    <row r="14" spans="2:45" ht="15.75" thickBot="1" x14ac:dyDescent="0.3">
      <c r="B14" s="179"/>
      <c r="C14" s="38"/>
      <c r="D14" s="125" t="s">
        <v>39</v>
      </c>
      <c r="E14" s="190">
        <v>21186</v>
      </c>
      <c r="F14" s="70"/>
      <c r="G14" s="38"/>
      <c r="H14" s="181"/>
      <c r="J14" s="179"/>
      <c r="K14" s="38"/>
      <c r="L14" s="125" t="s">
        <v>39</v>
      </c>
      <c r="M14" s="204">
        <v>28491</v>
      </c>
      <c r="N14" s="70"/>
      <c r="O14" s="38"/>
      <c r="P14" s="181"/>
      <c r="Q14" s="39"/>
      <c r="R14" s="183"/>
      <c r="S14" s="184"/>
      <c r="T14" s="184"/>
      <c r="U14" s="184"/>
      <c r="V14" s="184"/>
      <c r="W14" s="184"/>
      <c r="X14" s="185"/>
      <c r="AF14" s="37"/>
      <c r="AG14" s="37"/>
      <c r="AH14" s="37"/>
      <c r="AI14" s="37"/>
      <c r="AJ14" s="37"/>
      <c r="AK14" s="37"/>
      <c r="AL14" s="37"/>
      <c r="AM14" s="37"/>
      <c r="AN14" s="37"/>
      <c r="AO14" s="37"/>
      <c r="AP14" s="37"/>
      <c r="AQ14" s="37"/>
      <c r="AR14" s="37"/>
      <c r="AS14" s="37"/>
    </row>
    <row r="15" spans="2:45" ht="16.5" thickTop="1" thickBot="1" x14ac:dyDescent="0.3">
      <c r="B15" s="179"/>
      <c r="C15" s="38"/>
      <c r="D15" s="125" t="s">
        <v>236</v>
      </c>
      <c r="E15" s="191" t="str">
        <f>IF(E14&lt;&gt;"",TEXT(DAY(E14),0)&amp;"-"&amp;TEXT(VALUE(MONTH(E14)),0)&amp;"-"&amp;TEXT(VALUE(YEAR(E14))+VALUE(MID(E16,1,2)),0),"")</f>
        <v>1-1-2025</v>
      </c>
      <c r="F15" s="70"/>
      <c r="G15" s="38"/>
      <c r="H15" s="181"/>
      <c r="J15" s="179"/>
      <c r="K15" s="38"/>
      <c r="L15" s="125" t="s">
        <v>236</v>
      </c>
      <c r="M15" s="205" t="str">
        <f>IF(M14&lt;&gt;"",TEXT(DAY(M14),0)&amp;"-"&amp;TEXT(VALUE(MONTH(M14)),0)&amp;"-"&amp;TEXT(VALUE(YEAR(M14))+VALUE(MID(M16,1,2)),0),"")</f>
        <v>1-1-2045</v>
      </c>
      <c r="N15" s="68"/>
      <c r="O15" s="38"/>
      <c r="P15" s="181"/>
      <c r="Q15" s="39"/>
      <c r="U15" s="37"/>
      <c r="V15" s="37"/>
      <c r="W15" s="37"/>
      <c r="AF15" s="37"/>
      <c r="AG15" s="37"/>
      <c r="AH15" s="37"/>
      <c r="AI15" s="37"/>
      <c r="AJ15" s="37"/>
      <c r="AK15" s="37"/>
      <c r="AL15" s="37"/>
      <c r="AM15" s="37"/>
      <c r="AN15" s="37"/>
      <c r="AO15" s="37"/>
      <c r="AP15" s="37"/>
      <c r="AQ15" s="37"/>
      <c r="AR15" s="37"/>
      <c r="AS15" s="37"/>
    </row>
    <row r="16" spans="2:45" ht="15.75" thickTop="1" x14ac:dyDescent="0.25">
      <c r="B16" s="179"/>
      <c r="C16" s="38"/>
      <c r="D16" s="125" t="s">
        <v>108</v>
      </c>
      <c r="E16" s="519" t="str">
        <f>IF(E14&lt;&gt;"",VLOOKUP(E14,Hulptabellen!$R$3:$U$10,2,TRUE),"")</f>
        <v>67 jaar</v>
      </c>
      <c r="F16" s="520"/>
      <c r="G16" s="38"/>
      <c r="H16" s="181"/>
      <c r="J16" s="179"/>
      <c r="K16" s="38"/>
      <c r="L16" s="125" t="s">
        <v>108</v>
      </c>
      <c r="M16" s="519" t="str">
        <f>IF(M14&lt;&gt;"",VLOOKUP(M14,Hulptabellen!$R$3:$U$10,2,TRUE),"")</f>
        <v>67 jaar</v>
      </c>
      <c r="N16" s="520"/>
      <c r="O16" s="38"/>
      <c r="P16" s="181"/>
      <c r="Q16" s="39"/>
      <c r="R16" s="219"/>
      <c r="S16" s="220"/>
      <c r="T16" s="220"/>
      <c r="U16" s="220"/>
      <c r="V16" s="220"/>
      <c r="W16" s="220"/>
      <c r="X16" s="221"/>
      <c r="AF16" s="37"/>
      <c r="AG16" s="37"/>
      <c r="AH16" s="37"/>
      <c r="AI16" s="37"/>
      <c r="AJ16" s="37"/>
      <c r="AK16" s="37"/>
      <c r="AL16" s="37"/>
      <c r="AM16" s="37"/>
      <c r="AN16" s="37"/>
      <c r="AO16" s="37"/>
      <c r="AP16" s="37"/>
      <c r="AQ16" s="37"/>
      <c r="AR16" s="37"/>
      <c r="AS16" s="37"/>
    </row>
    <row r="17" spans="2:45" ht="18.75" x14ac:dyDescent="0.3">
      <c r="B17" s="179"/>
      <c r="C17" s="38"/>
      <c r="D17" s="69"/>
      <c r="E17" s="189"/>
      <c r="F17" s="189"/>
      <c r="G17" s="38"/>
      <c r="H17" s="181"/>
      <c r="J17" s="179"/>
      <c r="K17" s="38"/>
      <c r="L17" s="69"/>
      <c r="M17" s="71"/>
      <c r="N17" s="68"/>
      <c r="O17" s="38"/>
      <c r="P17" s="181"/>
      <c r="Q17" s="39"/>
      <c r="R17" s="222"/>
      <c r="S17" s="187"/>
      <c r="T17" s="227" t="s">
        <v>185</v>
      </c>
      <c r="U17" s="187"/>
      <c r="V17" s="187"/>
      <c r="W17" s="187"/>
      <c r="X17" s="223"/>
      <c r="AF17" s="37"/>
      <c r="AG17" s="37"/>
      <c r="AH17" s="37"/>
      <c r="AI17" s="37"/>
      <c r="AJ17" s="37"/>
      <c r="AK17" s="37"/>
      <c r="AL17" s="37"/>
      <c r="AM17" s="37"/>
      <c r="AN17" s="37"/>
      <c r="AO17" s="37"/>
      <c r="AP17" s="37"/>
      <c r="AQ17" s="37"/>
      <c r="AR17" s="37"/>
      <c r="AS17" s="37"/>
    </row>
    <row r="18" spans="2:45" x14ac:dyDescent="0.25">
      <c r="B18" s="179"/>
      <c r="C18" s="38"/>
      <c r="D18" s="69"/>
      <c r="E18" s="128" t="s">
        <v>192</v>
      </c>
      <c r="F18" s="70" t="s">
        <v>193</v>
      </c>
      <c r="G18" s="38"/>
      <c r="H18" s="181"/>
      <c r="J18" s="179"/>
      <c r="K18" s="38"/>
      <c r="L18" s="69"/>
      <c r="M18" s="69"/>
      <c r="N18" s="69"/>
      <c r="O18" s="38"/>
      <c r="P18" s="181"/>
      <c r="Q18" s="39"/>
      <c r="R18" s="222"/>
      <c r="S18" s="218"/>
      <c r="T18" s="218"/>
      <c r="U18" s="218"/>
      <c r="V18" s="218"/>
      <c r="W18" s="218"/>
      <c r="X18" s="223"/>
      <c r="AF18" s="37"/>
      <c r="AG18" s="37"/>
      <c r="AH18" s="37"/>
      <c r="AI18" s="37"/>
      <c r="AJ18" s="37"/>
      <c r="AK18" s="37"/>
      <c r="AL18" s="37"/>
      <c r="AM18" s="37"/>
      <c r="AN18" s="37"/>
      <c r="AO18" s="37"/>
      <c r="AP18" s="37"/>
      <c r="AQ18" s="37"/>
      <c r="AR18" s="37"/>
      <c r="AS18" s="37"/>
    </row>
    <row r="19" spans="2:45" x14ac:dyDescent="0.25">
      <c r="B19" s="179"/>
      <c r="C19" s="38"/>
      <c r="D19" s="125" t="s">
        <v>269</v>
      </c>
      <c r="E19" s="192">
        <v>2023</v>
      </c>
      <c r="F19" s="193" t="s">
        <v>199</v>
      </c>
      <c r="G19" s="140">
        <f>VLOOKUP(F19,Hulptabellen!$L$14:$M$25,2,FALSE)</f>
        <v>1</v>
      </c>
      <c r="H19" s="182"/>
      <c r="J19" s="179"/>
      <c r="K19" s="38"/>
      <c r="L19" s="69"/>
      <c r="M19" s="69"/>
      <c r="N19" s="69"/>
      <c r="O19" s="38"/>
      <c r="P19" s="181"/>
      <c r="Q19" s="39"/>
      <c r="R19" s="222"/>
      <c r="S19" s="218"/>
      <c r="T19" s="514" t="s">
        <v>285</v>
      </c>
      <c r="U19" s="518"/>
      <c r="V19" s="518"/>
      <c r="W19" s="218"/>
      <c r="X19" s="223"/>
      <c r="AF19" s="37"/>
      <c r="AG19" s="37"/>
      <c r="AH19" s="37"/>
      <c r="AI19" s="37"/>
      <c r="AJ19" s="37"/>
      <c r="AK19" s="37"/>
      <c r="AL19" s="37"/>
      <c r="AM19" s="37"/>
      <c r="AN19" s="37"/>
      <c r="AO19" s="37"/>
      <c r="AP19" s="37"/>
      <c r="AQ19" s="37"/>
      <c r="AR19" s="37"/>
      <c r="AS19" s="37"/>
    </row>
    <row r="20" spans="2:45" x14ac:dyDescent="0.25">
      <c r="B20" s="179"/>
      <c r="C20" s="38"/>
      <c r="D20" s="125" t="s">
        <v>270</v>
      </c>
      <c r="E20" s="192">
        <v>2025</v>
      </c>
      <c r="F20" s="193" t="s">
        <v>199</v>
      </c>
      <c r="G20" s="140">
        <f>VLOOKUP(F20,Hulptabellen!$L$14:$M$25,2,FALSE)</f>
        <v>1</v>
      </c>
      <c r="H20" s="182"/>
      <c r="J20" s="179"/>
      <c r="K20" s="38"/>
      <c r="L20" s="69"/>
      <c r="M20" s="69"/>
      <c r="N20" s="69"/>
      <c r="O20" s="38"/>
      <c r="P20" s="181"/>
      <c r="Q20" s="39"/>
      <c r="R20" s="222"/>
      <c r="S20" s="218"/>
      <c r="T20" s="518"/>
      <c r="U20" s="518"/>
      <c r="V20" s="518"/>
      <c r="W20" s="218"/>
      <c r="X20" s="223"/>
      <c r="AF20" s="37"/>
      <c r="AG20" s="37"/>
      <c r="AH20" s="37"/>
      <c r="AI20" s="37"/>
      <c r="AJ20" s="37"/>
      <c r="AK20" s="37"/>
      <c r="AL20" s="37"/>
      <c r="AM20" s="37"/>
      <c r="AN20" s="37"/>
      <c r="AO20" s="37"/>
      <c r="AP20" s="37"/>
      <c r="AQ20" s="37"/>
      <c r="AR20" s="37"/>
      <c r="AS20" s="37"/>
    </row>
    <row r="21" spans="2:45" x14ac:dyDescent="0.25">
      <c r="B21" s="179"/>
      <c r="C21" s="38"/>
      <c r="D21" s="69"/>
      <c r="E21" s="189"/>
      <c r="F21" s="189"/>
      <c r="G21" s="38"/>
      <c r="H21" s="181"/>
      <c r="J21" s="179"/>
      <c r="K21" s="38"/>
      <c r="L21" s="69"/>
      <c r="M21" s="127"/>
      <c r="N21" s="42"/>
      <c r="O21" s="38"/>
      <c r="P21" s="181"/>
      <c r="Q21" s="39"/>
      <c r="R21" s="222"/>
      <c r="S21" s="218"/>
      <c r="T21" s="518"/>
      <c r="U21" s="518"/>
      <c r="V21" s="518"/>
      <c r="W21" s="218"/>
      <c r="X21" s="223"/>
      <c r="AF21" s="37"/>
      <c r="AG21" s="37"/>
      <c r="AH21" s="37"/>
      <c r="AI21" s="37"/>
      <c r="AJ21" s="37"/>
      <c r="AK21" s="37"/>
      <c r="AL21" s="37"/>
      <c r="AM21" s="37"/>
      <c r="AN21" s="37"/>
      <c r="AO21" s="37"/>
      <c r="AP21" s="37"/>
      <c r="AQ21" s="37"/>
      <c r="AR21" s="37"/>
      <c r="AS21" s="37"/>
    </row>
    <row r="22" spans="2:45" x14ac:dyDescent="0.25">
      <c r="B22" s="179"/>
      <c r="C22" s="38"/>
      <c r="D22" s="72" t="s">
        <v>5</v>
      </c>
      <c r="E22" s="188" t="s">
        <v>124</v>
      </c>
      <c r="F22" s="188" t="s">
        <v>125</v>
      </c>
      <c r="G22" s="38"/>
      <c r="H22" s="181"/>
      <c r="J22" s="179"/>
      <c r="K22" s="38"/>
      <c r="L22" s="72" t="s">
        <v>5</v>
      </c>
      <c r="M22" s="188" t="s">
        <v>124</v>
      </c>
      <c r="N22" s="188" t="s">
        <v>125</v>
      </c>
      <c r="O22" s="38"/>
      <c r="P22" s="181"/>
      <c r="Q22" s="39"/>
      <c r="R22" s="222"/>
      <c r="S22" s="218"/>
      <c r="T22" s="518"/>
      <c r="U22" s="518"/>
      <c r="V22" s="518"/>
      <c r="W22" s="218"/>
      <c r="X22" s="223"/>
      <c r="AF22" s="37"/>
      <c r="AG22" s="37"/>
      <c r="AH22" s="37"/>
      <c r="AI22" s="37"/>
      <c r="AJ22" s="37"/>
      <c r="AK22" s="37"/>
      <c r="AL22" s="37"/>
      <c r="AM22" s="37"/>
      <c r="AN22" s="37"/>
      <c r="AO22" s="37"/>
      <c r="AP22" s="37"/>
      <c r="AQ22" s="37"/>
      <c r="AR22" s="37"/>
      <c r="AS22" s="37"/>
    </row>
    <row r="23" spans="2:45" ht="15" customHeight="1" x14ac:dyDescent="0.25">
      <c r="B23" s="179"/>
      <c r="C23" s="38"/>
      <c r="D23" s="125" t="s">
        <v>264</v>
      </c>
      <c r="E23" s="194" t="s">
        <v>302</v>
      </c>
      <c r="F23" s="197" t="s">
        <v>302</v>
      </c>
      <c r="G23" s="38"/>
      <c r="H23" s="181"/>
      <c r="I23"/>
      <c r="J23" s="179"/>
      <c r="K23" s="38"/>
      <c r="L23" s="125" t="s">
        <v>264</v>
      </c>
      <c r="M23" s="206" t="s">
        <v>302</v>
      </c>
      <c r="N23" s="207" t="s">
        <v>302</v>
      </c>
      <c r="O23" s="38"/>
      <c r="P23" s="181"/>
      <c r="Q23" s="39"/>
      <c r="R23" s="222"/>
      <c r="S23" s="218"/>
      <c r="T23" s="218"/>
      <c r="U23" s="218"/>
      <c r="V23" s="218"/>
      <c r="W23" s="218"/>
      <c r="X23" s="223"/>
      <c r="AF23" s="37"/>
      <c r="AG23" s="37"/>
      <c r="AH23" s="37"/>
      <c r="AI23" s="37"/>
      <c r="AJ23" s="37"/>
      <c r="AK23" s="37"/>
      <c r="AL23" s="37"/>
      <c r="AM23" s="37"/>
      <c r="AN23" s="37"/>
      <c r="AO23" s="37"/>
      <c r="AP23" s="37"/>
      <c r="AQ23" s="37"/>
      <c r="AR23" s="37"/>
      <c r="AS23" s="37"/>
    </row>
    <row r="24" spans="2:45" ht="15" customHeight="1" thickBot="1" x14ac:dyDescent="0.3">
      <c r="B24" s="179"/>
      <c r="C24" s="38"/>
      <c r="D24" s="125" t="s">
        <v>265</v>
      </c>
      <c r="E24" s="194">
        <v>12</v>
      </c>
      <c r="F24" s="490">
        <v>12</v>
      </c>
      <c r="G24" s="38"/>
      <c r="H24" s="181"/>
      <c r="I24" s="73" t="s">
        <v>99</v>
      </c>
      <c r="J24" s="179"/>
      <c r="K24" s="38"/>
      <c r="L24" s="125" t="s">
        <v>265</v>
      </c>
      <c r="M24" s="208">
        <v>9</v>
      </c>
      <c r="N24" s="209">
        <v>9</v>
      </c>
      <c r="O24" s="38"/>
      <c r="P24" s="181"/>
      <c r="Q24" s="39"/>
      <c r="R24" s="224"/>
      <c r="S24" s="225"/>
      <c r="T24" s="225"/>
      <c r="U24" s="225"/>
      <c r="V24" s="225"/>
      <c r="W24" s="225"/>
      <c r="X24" s="226"/>
      <c r="AF24" s="37"/>
      <c r="AG24" s="37"/>
      <c r="AH24" s="37"/>
      <c r="AI24" s="37"/>
      <c r="AJ24" s="37"/>
      <c r="AK24" s="37"/>
      <c r="AL24" s="37"/>
      <c r="AM24" s="37"/>
      <c r="AN24" s="37"/>
      <c r="AO24" s="37"/>
      <c r="AP24" s="37"/>
      <c r="AQ24" s="37"/>
      <c r="AR24" s="37"/>
      <c r="AS24" s="37"/>
    </row>
    <row r="25" spans="2:45" ht="15" customHeight="1" thickTop="1" x14ac:dyDescent="0.25">
      <c r="B25" s="179"/>
      <c r="C25" s="38"/>
      <c r="D25" s="125" t="s">
        <v>266</v>
      </c>
      <c r="E25" s="195">
        <f>IF(E23&lt;&gt;"",VLOOKUP(E23,'Tabellen PO-Raad'!$A$74:$W$109,MIN(E24,VLOOKUP(E23,Saltab2023,22,FALSE))+5,FALSE),"")</f>
        <v>4573</v>
      </c>
      <c r="F25" s="198">
        <f>IF(F23&lt;&gt;"",VLOOKUP(F23,'Tabellen PO-Raad'!$A$74:$W$109,MIN(F24,VLOOKUP(F23,'Tabellen PO-Raad'!$A$74:$W$109,22,FALSE))+5,FALSE),"")</f>
        <v>4573</v>
      </c>
      <c r="G25" s="38"/>
      <c r="H25" s="181"/>
      <c r="J25" s="179"/>
      <c r="K25" s="38"/>
      <c r="L25" s="125" t="s">
        <v>266</v>
      </c>
      <c r="M25" s="195">
        <f>IF(M23&lt;&gt;"",VLOOKUP(M23,'Tabellen PO-Raad'!$A$74:$W$109,MIN(M24,VLOOKUP(M23,Saltab2023,22,FALSE))+5,FALSE),"")</f>
        <v>3929</v>
      </c>
      <c r="N25" s="195">
        <f>IF(N23&lt;&gt;"",VLOOKUP(N23,'Tabellen PO-Raad'!$A$74:$W$109,MIN(N24,VLOOKUP(N23,Saltab2023,22,FALSE))+5,FALSE),"")</f>
        <v>3929</v>
      </c>
      <c r="O25" s="38"/>
      <c r="P25" s="181"/>
      <c r="Q25" s="39"/>
      <c r="U25" s="37"/>
      <c r="V25" s="37"/>
      <c r="W25" s="37"/>
      <c r="AF25" s="37"/>
      <c r="AG25" s="37"/>
      <c r="AH25" s="37"/>
      <c r="AI25" s="37"/>
      <c r="AJ25" s="37"/>
      <c r="AK25" s="37"/>
      <c r="AL25" s="37"/>
      <c r="AM25" s="37"/>
      <c r="AN25" s="37"/>
      <c r="AO25" s="37"/>
      <c r="AP25" s="37"/>
      <c r="AQ25" s="37"/>
      <c r="AR25" s="37"/>
      <c r="AS25" s="37"/>
    </row>
    <row r="26" spans="2:45" ht="15" customHeight="1" x14ac:dyDescent="0.25">
      <c r="B26" s="179"/>
      <c r="C26" s="38"/>
      <c r="D26" s="125" t="s">
        <v>121</v>
      </c>
      <c r="E26" s="196">
        <v>1</v>
      </c>
      <c r="F26" s="199">
        <v>0.8</v>
      </c>
      <c r="G26" s="38"/>
      <c r="H26" s="181"/>
      <c r="J26" s="179"/>
      <c r="K26" s="38"/>
      <c r="L26" s="125" t="s">
        <v>102</v>
      </c>
      <c r="M26" s="210">
        <v>0.5</v>
      </c>
      <c r="N26" s="211">
        <v>0.7</v>
      </c>
      <c r="O26" s="38"/>
      <c r="P26" s="181"/>
      <c r="Q26" s="39"/>
      <c r="U26" s="37"/>
      <c r="V26" s="37"/>
      <c r="W26" s="37"/>
      <c r="AF26" s="37"/>
      <c r="AG26" s="37"/>
      <c r="AH26" s="37"/>
      <c r="AI26" s="37"/>
      <c r="AJ26" s="37"/>
      <c r="AK26" s="37"/>
      <c r="AL26" s="37"/>
      <c r="AM26" s="37"/>
      <c r="AN26" s="37"/>
      <c r="AO26" s="37"/>
      <c r="AP26" s="37"/>
      <c r="AQ26" s="37"/>
      <c r="AR26" s="37"/>
      <c r="AS26" s="37"/>
    </row>
    <row r="27" spans="2:45" x14ac:dyDescent="0.25">
      <c r="B27" s="179"/>
      <c r="C27" s="38"/>
      <c r="D27" s="69" t="s">
        <v>170</v>
      </c>
      <c r="E27" s="102"/>
      <c r="F27" s="200">
        <v>0.1</v>
      </c>
      <c r="G27" s="38"/>
      <c r="H27" s="181"/>
      <c r="J27" s="179"/>
      <c r="K27" s="38"/>
      <c r="L27" s="76"/>
      <c r="M27" s="102"/>
      <c r="N27" s="103"/>
      <c r="O27" s="38"/>
      <c r="P27" s="181"/>
      <c r="Q27" s="39"/>
      <c r="U27" s="37"/>
      <c r="V27" s="37"/>
      <c r="W27" s="37"/>
      <c r="AF27" s="37"/>
      <c r="AG27" s="37"/>
      <c r="AH27" s="37"/>
      <c r="AI27" s="37"/>
      <c r="AJ27" s="37"/>
      <c r="AK27" s="37"/>
      <c r="AL27" s="37"/>
      <c r="AM27" s="37"/>
      <c r="AN27" s="37"/>
      <c r="AO27" s="37"/>
      <c r="AP27" s="37"/>
      <c r="AQ27" s="37"/>
      <c r="AR27" s="37"/>
      <c r="AS27" s="37"/>
    </row>
    <row r="28" spans="2:45" x14ac:dyDescent="0.25">
      <c r="B28" s="179"/>
      <c r="C28" s="38"/>
      <c r="D28" s="69" t="s">
        <v>122</v>
      </c>
      <c r="E28" s="74"/>
      <c r="F28" s="201">
        <f>1-F27</f>
        <v>0.9</v>
      </c>
      <c r="G28" s="38"/>
      <c r="H28" s="181"/>
      <c r="J28" s="179"/>
      <c r="K28" s="38"/>
      <c r="L28" s="76"/>
      <c r="M28" s="68"/>
      <c r="N28" s="42"/>
      <c r="O28" s="38"/>
      <c r="P28" s="181"/>
      <c r="Q28" s="39"/>
      <c r="U28" s="37"/>
      <c r="V28" s="37"/>
      <c r="W28" s="37"/>
      <c r="AF28" s="37"/>
      <c r="AG28" s="37"/>
      <c r="AH28" s="37"/>
      <c r="AI28" s="37"/>
      <c r="AJ28" s="37"/>
      <c r="AK28" s="37"/>
      <c r="AL28" s="37"/>
      <c r="AM28" s="37"/>
      <c r="AN28" s="37"/>
      <c r="AO28" s="37"/>
      <c r="AP28" s="37"/>
      <c r="AQ28" s="37"/>
      <c r="AR28" s="37"/>
      <c r="AS28" s="37"/>
    </row>
    <row r="29" spans="2:45" x14ac:dyDescent="0.25">
      <c r="B29" s="179"/>
      <c r="C29" s="38"/>
      <c r="D29" s="69"/>
      <c r="E29" s="126"/>
      <c r="F29" s="126"/>
      <c r="G29" s="38"/>
      <c r="H29" s="181"/>
      <c r="J29" s="179"/>
      <c r="K29" s="38"/>
      <c r="L29" s="76"/>
      <c r="M29" s="68"/>
      <c r="N29" s="42"/>
      <c r="O29" s="38"/>
      <c r="P29" s="181"/>
      <c r="Q29" s="39"/>
      <c r="U29" s="37"/>
      <c r="V29" s="37"/>
      <c r="W29" s="37"/>
      <c r="AF29" s="37"/>
      <c r="AG29" s="37"/>
      <c r="AH29" s="37"/>
      <c r="AI29" s="37"/>
      <c r="AJ29" s="37"/>
      <c r="AK29" s="37"/>
      <c r="AL29" s="37"/>
      <c r="AM29" s="37"/>
      <c r="AN29" s="37"/>
      <c r="AO29" s="37"/>
      <c r="AP29" s="37"/>
      <c r="AQ29" s="37"/>
      <c r="AR29" s="37"/>
      <c r="AS29" s="37"/>
    </row>
    <row r="30" spans="2:45" x14ac:dyDescent="0.25">
      <c r="B30" s="179"/>
      <c r="C30" s="38"/>
      <c r="D30" s="69" t="s">
        <v>267</v>
      </c>
      <c r="E30" s="126"/>
      <c r="F30" s="202" t="s">
        <v>99</v>
      </c>
      <c r="G30" s="38"/>
      <c r="H30" s="181"/>
      <c r="J30" s="179"/>
      <c r="K30" s="38"/>
      <c r="L30" s="76"/>
      <c r="M30" s="68"/>
      <c r="N30" s="42"/>
      <c r="O30" s="38"/>
      <c r="P30" s="181"/>
      <c r="Q30" s="39"/>
      <c r="U30" s="37"/>
      <c r="V30" s="37"/>
      <c r="W30" s="37"/>
      <c r="AF30" s="37"/>
      <c r="AG30" s="37"/>
      <c r="AH30" s="37"/>
      <c r="AI30" s="37"/>
      <c r="AJ30" s="37"/>
      <c r="AK30" s="37"/>
      <c r="AL30" s="37"/>
      <c r="AM30" s="37"/>
      <c r="AN30" s="37"/>
      <c r="AO30" s="37"/>
      <c r="AP30" s="37"/>
      <c r="AQ30" s="37"/>
      <c r="AR30" s="37"/>
      <c r="AS30" s="37"/>
    </row>
    <row r="31" spans="2:45" x14ac:dyDescent="0.25">
      <c r="B31" s="179"/>
      <c r="C31" s="38"/>
      <c r="D31" s="75"/>
      <c r="E31" s="68"/>
      <c r="F31" s="42"/>
      <c r="G31" s="38"/>
      <c r="H31" s="181"/>
      <c r="J31" s="179"/>
      <c r="K31" s="38"/>
      <c r="L31" s="76"/>
      <c r="M31" s="68"/>
      <c r="N31" s="42"/>
      <c r="O31" s="38"/>
      <c r="P31" s="181"/>
      <c r="Q31" s="39"/>
      <c r="U31" s="37"/>
      <c r="V31" s="37"/>
      <c r="W31" s="37"/>
      <c r="AF31" s="37"/>
      <c r="AG31" s="37"/>
      <c r="AH31" s="37"/>
      <c r="AI31" s="37"/>
      <c r="AJ31" s="37"/>
      <c r="AK31" s="37"/>
      <c r="AL31" s="37"/>
      <c r="AM31" s="37"/>
      <c r="AN31" s="37"/>
      <c r="AO31" s="37"/>
      <c r="AP31" s="37"/>
      <c r="AQ31" s="37"/>
      <c r="AR31" s="37"/>
      <c r="AS31" s="37"/>
    </row>
    <row r="32" spans="2:45" x14ac:dyDescent="0.25">
      <c r="B32" s="179"/>
      <c r="C32" s="38"/>
      <c r="D32" s="68" t="s">
        <v>101</v>
      </c>
      <c r="E32" s="188" t="s">
        <v>124</v>
      </c>
      <c r="F32" s="188" t="s">
        <v>125</v>
      </c>
      <c r="G32" s="38"/>
      <c r="H32" s="181"/>
      <c r="J32" s="179"/>
      <c r="K32" s="38"/>
      <c r="L32" s="68" t="s">
        <v>101</v>
      </c>
      <c r="M32" s="188" t="s">
        <v>124</v>
      </c>
      <c r="N32" s="188" t="s">
        <v>125</v>
      </c>
      <c r="O32" s="38"/>
      <c r="P32" s="181"/>
      <c r="Q32" s="39"/>
      <c r="U32" s="37"/>
      <c r="V32" s="37"/>
      <c r="W32" s="37"/>
      <c r="AF32" s="37"/>
      <c r="AG32" s="37"/>
      <c r="AH32" s="37"/>
      <c r="AI32" s="37"/>
      <c r="AJ32" s="37"/>
      <c r="AK32" s="37"/>
      <c r="AL32" s="37"/>
      <c r="AM32" s="37"/>
      <c r="AN32" s="37"/>
      <c r="AO32" s="37"/>
      <c r="AP32" s="37"/>
      <c r="AQ32" s="37"/>
      <c r="AR32" s="37"/>
      <c r="AS32" s="37"/>
    </row>
    <row r="33" spans="2:45" x14ac:dyDescent="0.25">
      <c r="B33" s="179"/>
      <c r="C33" s="38"/>
      <c r="D33" s="125" t="s">
        <v>268</v>
      </c>
      <c r="E33" s="203" t="s">
        <v>99</v>
      </c>
      <c r="F33" s="203" t="s">
        <v>99</v>
      </c>
      <c r="G33" s="38"/>
      <c r="H33" s="181"/>
      <c r="J33" s="179"/>
      <c r="K33" s="38"/>
      <c r="L33" s="125" t="s">
        <v>268</v>
      </c>
      <c r="M33" s="212" t="s">
        <v>90</v>
      </c>
      <c r="N33" s="213" t="s">
        <v>90</v>
      </c>
      <c r="O33" s="38"/>
      <c r="P33" s="181"/>
      <c r="Q33" s="39"/>
      <c r="U33" s="37"/>
      <c r="V33" s="37"/>
      <c r="W33" s="37"/>
      <c r="AF33" s="37"/>
      <c r="AG33" s="37"/>
      <c r="AH33" s="37"/>
      <c r="AI33" s="37"/>
      <c r="AJ33" s="37"/>
      <c r="AK33" s="37"/>
      <c r="AL33" s="37"/>
      <c r="AM33" s="37"/>
      <c r="AN33" s="37"/>
      <c r="AO33" s="37"/>
      <c r="AP33" s="37"/>
      <c r="AQ33" s="37"/>
      <c r="AR33" s="37"/>
      <c r="AS33" s="37"/>
    </row>
    <row r="34" spans="2:45" x14ac:dyDescent="0.25">
      <c r="B34" s="179"/>
      <c r="C34" s="38"/>
      <c r="D34" s="76"/>
      <c r="E34" s="68"/>
      <c r="F34" s="42"/>
      <c r="G34" s="38"/>
      <c r="H34" s="181"/>
      <c r="J34" s="179"/>
      <c r="K34" s="38"/>
      <c r="L34" s="76"/>
      <c r="M34" s="68"/>
      <c r="N34" s="42"/>
      <c r="O34" s="38"/>
      <c r="P34" s="181"/>
      <c r="Q34" s="39"/>
      <c r="U34" s="37"/>
      <c r="V34" s="37"/>
      <c r="W34" s="37"/>
      <c r="AF34" s="37"/>
      <c r="AG34" s="37"/>
      <c r="AH34" s="37"/>
      <c r="AI34" s="37"/>
      <c r="AJ34" s="37"/>
      <c r="AK34" s="37"/>
      <c r="AL34" s="37"/>
      <c r="AM34" s="37"/>
      <c r="AN34" s="37"/>
      <c r="AO34" s="37"/>
      <c r="AP34" s="37"/>
      <c r="AQ34" s="37"/>
      <c r="AR34" s="37"/>
      <c r="AS34" s="37"/>
    </row>
    <row r="35" spans="2:45" ht="15.75" thickBot="1" x14ac:dyDescent="0.3">
      <c r="B35" s="183"/>
      <c r="C35" s="184"/>
      <c r="D35" s="184"/>
      <c r="E35" s="184"/>
      <c r="F35" s="184"/>
      <c r="G35" s="184"/>
      <c r="H35" s="185"/>
      <c r="J35" s="183"/>
      <c r="K35" s="184"/>
      <c r="L35" s="184"/>
      <c r="M35" s="184"/>
      <c r="N35" s="184"/>
      <c r="O35" s="184"/>
      <c r="P35" s="185"/>
      <c r="Q35" s="39"/>
      <c r="U35" s="37"/>
      <c r="V35" s="37"/>
      <c r="W35" s="37"/>
      <c r="AF35" s="37"/>
      <c r="AG35" s="37"/>
      <c r="AH35" s="37"/>
      <c r="AI35" s="37"/>
      <c r="AJ35" s="37"/>
      <c r="AK35" s="37"/>
      <c r="AL35" s="37"/>
      <c r="AM35" s="37"/>
      <c r="AN35" s="37"/>
      <c r="AO35" s="37"/>
      <c r="AP35" s="37"/>
      <c r="AQ35" s="37"/>
      <c r="AR35" s="37"/>
      <c r="AS35" s="37"/>
    </row>
    <row r="36" spans="2:45" ht="16.5" thickTop="1" thickBot="1" x14ac:dyDescent="0.3">
      <c r="C36" s="37"/>
      <c r="D36" s="37"/>
      <c r="E36" s="37"/>
      <c r="F36" s="37"/>
      <c r="G36" s="37"/>
      <c r="Q36" s="39"/>
      <c r="U36" s="37"/>
      <c r="V36" s="37"/>
      <c r="W36" s="37"/>
      <c r="AF36" s="37"/>
      <c r="AG36" s="37"/>
      <c r="AH36" s="37"/>
      <c r="AI36" s="37"/>
      <c r="AJ36" s="37"/>
      <c r="AK36" s="37"/>
      <c r="AL36" s="37"/>
      <c r="AM36" s="37"/>
      <c r="AN36" s="37"/>
      <c r="AO36" s="37"/>
      <c r="AP36" s="37"/>
      <c r="AQ36" s="37"/>
      <c r="AR36" s="37"/>
      <c r="AS36" s="37"/>
    </row>
    <row r="37" spans="2:45" ht="15.75" thickTop="1" x14ac:dyDescent="0.25">
      <c r="B37" s="228"/>
      <c r="C37" s="229"/>
      <c r="D37" s="229"/>
      <c r="E37" s="229"/>
      <c r="F37" s="229"/>
      <c r="G37" s="229"/>
      <c r="H37" s="230"/>
      <c r="J37" s="228"/>
      <c r="K37" s="229"/>
      <c r="L37" s="229"/>
      <c r="M37" s="229"/>
      <c r="N37" s="229"/>
      <c r="O37" s="229"/>
      <c r="P37" s="230"/>
      <c r="Q37" s="39"/>
      <c r="U37" s="37"/>
      <c r="V37" s="37"/>
      <c r="W37" s="37"/>
      <c r="AF37" s="37"/>
      <c r="AG37" s="37"/>
      <c r="AH37" s="37"/>
      <c r="AI37" s="37"/>
      <c r="AJ37" s="37"/>
      <c r="AK37" s="37"/>
      <c r="AL37" s="37"/>
      <c r="AM37" s="37"/>
      <c r="AN37" s="37"/>
      <c r="AO37" s="37"/>
      <c r="AP37" s="37"/>
      <c r="AQ37" s="37"/>
      <c r="AR37" s="37"/>
      <c r="AS37" s="37"/>
    </row>
    <row r="38" spans="2:45" s="37" customFormat="1" ht="18.75" x14ac:dyDescent="0.3">
      <c r="B38" s="231"/>
      <c r="C38" s="39"/>
      <c r="D38" s="227" t="s">
        <v>185</v>
      </c>
      <c r="E38" s="39"/>
      <c r="F38" s="39"/>
      <c r="G38" s="39"/>
      <c r="H38" s="232"/>
      <c r="J38" s="231"/>
      <c r="K38" s="39"/>
      <c r="L38" s="227" t="s">
        <v>185</v>
      </c>
      <c r="M38" s="39"/>
      <c r="N38" s="39"/>
      <c r="O38" s="39"/>
      <c r="P38" s="232"/>
      <c r="Q38" s="39"/>
    </row>
    <row r="39" spans="2:45" s="37" customFormat="1" x14ac:dyDescent="0.25">
      <c r="B39" s="231"/>
      <c r="C39" s="218"/>
      <c r="D39" s="357"/>
      <c r="E39" s="357"/>
      <c r="F39" s="357"/>
      <c r="G39" s="218"/>
      <c r="H39" s="232"/>
      <c r="J39" s="231"/>
      <c r="K39" s="217"/>
      <c r="L39" s="218"/>
      <c r="M39" s="218"/>
      <c r="N39" s="218"/>
      <c r="O39" s="217"/>
      <c r="P39" s="232"/>
      <c r="Q39" s="39"/>
    </row>
    <row r="40" spans="2:45" s="37" customFormat="1" ht="15.75" customHeight="1" x14ac:dyDescent="0.25">
      <c r="B40" s="231"/>
      <c r="C40" s="218"/>
      <c r="D40" s="514" t="s">
        <v>241</v>
      </c>
      <c r="E40" s="514"/>
      <c r="F40" s="514"/>
      <c r="G40" s="218"/>
      <c r="H40" s="232"/>
      <c r="J40" s="231"/>
      <c r="K40" s="217"/>
      <c r="L40" s="515" t="s">
        <v>191</v>
      </c>
      <c r="M40" s="515"/>
      <c r="N40" s="515"/>
      <c r="O40" s="217"/>
      <c r="P40" s="232"/>
      <c r="Q40" s="39"/>
    </row>
    <row r="41" spans="2:45" s="37" customFormat="1" ht="15.75" customHeight="1" x14ac:dyDescent="0.25">
      <c r="B41" s="231"/>
      <c r="C41" s="218"/>
      <c r="D41" s="514"/>
      <c r="E41" s="514"/>
      <c r="F41" s="514"/>
      <c r="G41" s="218"/>
      <c r="H41" s="232"/>
      <c r="J41" s="231"/>
      <c r="K41" s="217"/>
      <c r="L41" s="515"/>
      <c r="M41" s="515"/>
      <c r="N41" s="515"/>
      <c r="O41" s="217"/>
      <c r="P41" s="232"/>
      <c r="Q41" s="39"/>
    </row>
    <row r="42" spans="2:45" s="37" customFormat="1" ht="15" customHeight="1" x14ac:dyDescent="0.25">
      <c r="B42" s="231"/>
      <c r="C42" s="218"/>
      <c r="D42" s="358" t="s">
        <v>242</v>
      </c>
      <c r="E42" s="359"/>
      <c r="F42" s="359"/>
      <c r="G42" s="218"/>
      <c r="H42" s="232"/>
      <c r="J42" s="231"/>
      <c r="K42" s="217"/>
      <c r="L42" s="515"/>
      <c r="M42" s="515"/>
      <c r="N42" s="515"/>
      <c r="O42" s="217"/>
      <c r="P42" s="232"/>
    </row>
    <row r="43" spans="2:45" s="37" customFormat="1" ht="15" customHeight="1" x14ac:dyDescent="0.25">
      <c r="B43" s="231"/>
      <c r="C43" s="218"/>
      <c r="D43" s="515" t="s">
        <v>272</v>
      </c>
      <c r="E43" s="515"/>
      <c r="F43" s="515"/>
      <c r="G43" s="218"/>
      <c r="H43" s="232"/>
      <c r="J43" s="231"/>
      <c r="K43" s="217"/>
      <c r="L43" s="515"/>
      <c r="M43" s="515"/>
      <c r="N43" s="515"/>
      <c r="O43" s="217"/>
      <c r="P43" s="232"/>
    </row>
    <row r="44" spans="2:45" s="37" customFormat="1" ht="15" customHeight="1" x14ac:dyDescent="0.25">
      <c r="B44" s="231"/>
      <c r="C44" s="218"/>
      <c r="D44" s="515"/>
      <c r="E44" s="515"/>
      <c r="F44" s="515"/>
      <c r="G44" s="218"/>
      <c r="H44" s="232"/>
      <c r="J44" s="231"/>
      <c r="K44" s="217"/>
      <c r="L44" s="218"/>
      <c r="M44" s="218"/>
      <c r="N44" s="218"/>
      <c r="O44" s="217"/>
      <c r="P44" s="232"/>
    </row>
    <row r="45" spans="2:45" s="37" customFormat="1" ht="15" customHeight="1" thickBot="1" x14ac:dyDescent="0.3">
      <c r="B45" s="231"/>
      <c r="C45" s="218"/>
      <c r="D45" s="515"/>
      <c r="E45" s="515"/>
      <c r="F45" s="515"/>
      <c r="G45" s="218"/>
      <c r="H45" s="232"/>
      <c r="J45" s="233"/>
      <c r="K45" s="234"/>
      <c r="L45" s="234"/>
      <c r="M45" s="234"/>
      <c r="N45" s="234"/>
      <c r="O45" s="234"/>
      <c r="P45" s="235"/>
    </row>
    <row r="46" spans="2:45" s="37" customFormat="1" ht="21" customHeight="1" thickTop="1" x14ac:dyDescent="0.25">
      <c r="B46" s="231"/>
      <c r="C46" s="218"/>
      <c r="D46" s="515"/>
      <c r="E46" s="515"/>
      <c r="F46" s="515"/>
      <c r="G46" s="218"/>
      <c r="H46" s="232"/>
    </row>
    <row r="47" spans="2:45" s="37" customFormat="1" ht="9.75" customHeight="1" x14ac:dyDescent="0.25">
      <c r="B47" s="231"/>
      <c r="C47" s="218"/>
      <c r="D47" s="514"/>
      <c r="E47" s="514"/>
      <c r="F47" s="514"/>
      <c r="G47" s="218"/>
      <c r="H47" s="232"/>
    </row>
    <row r="48" spans="2:45" s="37" customFormat="1" ht="15" customHeight="1" x14ac:dyDescent="0.25">
      <c r="B48" s="231"/>
      <c r="C48" s="218"/>
      <c r="D48" s="521" t="s">
        <v>5</v>
      </c>
      <c r="E48" s="521"/>
      <c r="F48" s="521"/>
      <c r="G48" s="218"/>
      <c r="H48" s="232"/>
    </row>
    <row r="49" spans="2:11" s="37" customFormat="1" ht="74.25" customHeight="1" x14ac:dyDescent="0.25">
      <c r="B49" s="231"/>
      <c r="C49" s="218"/>
      <c r="D49" s="514" t="s">
        <v>257</v>
      </c>
      <c r="E49" s="514"/>
      <c r="F49" s="514"/>
      <c r="G49" s="218"/>
      <c r="H49" s="232"/>
      <c r="K49" s="64"/>
    </row>
    <row r="50" spans="2:11" s="37" customFormat="1" x14ac:dyDescent="0.25">
      <c r="B50" s="231"/>
      <c r="C50" s="218"/>
      <c r="D50" s="218"/>
      <c r="E50" s="218"/>
      <c r="F50" s="218"/>
      <c r="G50" s="218"/>
      <c r="H50" s="232"/>
      <c r="K50" s="64"/>
    </row>
    <row r="51" spans="2:11" s="37" customFormat="1" ht="15.75" thickBot="1" x14ac:dyDescent="0.3">
      <c r="B51" s="233"/>
      <c r="C51" s="234"/>
      <c r="D51" s="234"/>
      <c r="E51" s="234"/>
      <c r="F51" s="234"/>
      <c r="G51" s="234"/>
      <c r="H51" s="235"/>
    </row>
    <row r="52" spans="2:11" s="37" customFormat="1" ht="15.75" thickTop="1" x14ac:dyDescent="0.25"/>
    <row r="53" spans="2:11" s="37" customFormat="1" x14ac:dyDescent="0.25"/>
    <row r="54" spans="2:11" s="37" customFormat="1" x14ac:dyDescent="0.25"/>
    <row r="55" spans="2:11" s="37" customFormat="1" x14ac:dyDescent="0.25"/>
    <row r="56" spans="2:11" s="37" customFormat="1" x14ac:dyDescent="0.25"/>
    <row r="57" spans="2:11" s="37" customFormat="1" x14ac:dyDescent="0.25"/>
    <row r="58" spans="2:11" s="37" customFormat="1" x14ac:dyDescent="0.25"/>
    <row r="59" spans="2:11" s="37" customFormat="1" x14ac:dyDescent="0.25"/>
    <row r="60" spans="2:11" s="37" customFormat="1" x14ac:dyDescent="0.25"/>
    <row r="61" spans="2:11" s="37" customFormat="1" x14ac:dyDescent="0.25"/>
    <row r="62" spans="2:11" s="37" customFormat="1" x14ac:dyDescent="0.25"/>
    <row r="63" spans="2:11" s="37" customFormat="1" x14ac:dyDescent="0.25"/>
    <row r="64" spans="2:11" s="37" customFormat="1" x14ac:dyDescent="0.25"/>
    <row r="65" s="37" customFormat="1" x14ac:dyDescent="0.25"/>
    <row r="66" s="37" customFormat="1" x14ac:dyDescent="0.25"/>
    <row r="67" s="37" customFormat="1" x14ac:dyDescent="0.25"/>
    <row r="68" s="37" customFormat="1" x14ac:dyDescent="0.25"/>
    <row r="69" s="37" customFormat="1" x14ac:dyDescent="0.25"/>
    <row r="70" s="37" customFormat="1" x14ac:dyDescent="0.25"/>
    <row r="71" s="37" customFormat="1" x14ac:dyDescent="0.25"/>
    <row r="72" s="37" customFormat="1" x14ac:dyDescent="0.25"/>
    <row r="73" s="37" customFormat="1" x14ac:dyDescent="0.25"/>
    <row r="74" s="37" customFormat="1" x14ac:dyDescent="0.25"/>
    <row r="75" s="37" customFormat="1" x14ac:dyDescent="0.25"/>
    <row r="76" s="37" customFormat="1" x14ac:dyDescent="0.25"/>
    <row r="77" s="37" customFormat="1" x14ac:dyDescent="0.25"/>
    <row r="78" s="37" customFormat="1" x14ac:dyDescent="0.25"/>
    <row r="79" s="37" customFormat="1" x14ac:dyDescent="0.25"/>
    <row r="80" s="37" customFormat="1" x14ac:dyDescent="0.25"/>
    <row r="81" s="37" customFormat="1" x14ac:dyDescent="0.25"/>
    <row r="82" s="37" customFormat="1" x14ac:dyDescent="0.25"/>
    <row r="83" s="37" customFormat="1" x14ac:dyDescent="0.25"/>
    <row r="84" s="37" customFormat="1" x14ac:dyDescent="0.25"/>
    <row r="85" s="37" customFormat="1" x14ac:dyDescent="0.25"/>
    <row r="86" s="37" customFormat="1" x14ac:dyDescent="0.25"/>
    <row r="87" s="37" customFormat="1" x14ac:dyDescent="0.25"/>
    <row r="88" s="37" customFormat="1" x14ac:dyDescent="0.25"/>
    <row r="89" s="37" customFormat="1" x14ac:dyDescent="0.25"/>
    <row r="90" s="37" customFormat="1" x14ac:dyDescent="0.25"/>
    <row r="91" s="37" customFormat="1" x14ac:dyDescent="0.25"/>
    <row r="92" s="37" customFormat="1" x14ac:dyDescent="0.25"/>
    <row r="93" s="37" customFormat="1" x14ac:dyDescent="0.25"/>
    <row r="94" s="37" customFormat="1" x14ac:dyDescent="0.25"/>
    <row r="95" s="37" customFormat="1" x14ac:dyDescent="0.25"/>
    <row r="96" s="37" customFormat="1" x14ac:dyDescent="0.25"/>
    <row r="97" s="37" customFormat="1" x14ac:dyDescent="0.25"/>
    <row r="98" s="37" customFormat="1" x14ac:dyDescent="0.25"/>
    <row r="99" s="37" customFormat="1" x14ac:dyDescent="0.25"/>
    <row r="100" s="37" customFormat="1" x14ac:dyDescent="0.25"/>
    <row r="101" s="37" customFormat="1" x14ac:dyDescent="0.25"/>
    <row r="102" s="37" customFormat="1" x14ac:dyDescent="0.25"/>
    <row r="103" s="37" customFormat="1" x14ac:dyDescent="0.25"/>
    <row r="104" s="37" customFormat="1" x14ac:dyDescent="0.25"/>
    <row r="105" s="37" customFormat="1" x14ac:dyDescent="0.25"/>
    <row r="106" s="37" customFormat="1" x14ac:dyDescent="0.25"/>
    <row r="107" s="37" customFormat="1" x14ac:dyDescent="0.25"/>
    <row r="108" s="37" customFormat="1" x14ac:dyDescent="0.25"/>
    <row r="109" s="37" customFormat="1" x14ac:dyDescent="0.25"/>
    <row r="110" s="37" customFormat="1" x14ac:dyDescent="0.25"/>
    <row r="111" s="37" customFormat="1" x14ac:dyDescent="0.25"/>
    <row r="112" s="37" customFormat="1" x14ac:dyDescent="0.25"/>
    <row r="113" s="37" customFormat="1" x14ac:dyDescent="0.25"/>
    <row r="114" s="37" customFormat="1" x14ac:dyDescent="0.25"/>
    <row r="115" s="37" customFormat="1" x14ac:dyDescent="0.25"/>
    <row r="116" s="37" customFormat="1" x14ac:dyDescent="0.25"/>
    <row r="117" s="37" customFormat="1" x14ac:dyDescent="0.25"/>
    <row r="118" s="37" customFormat="1" x14ac:dyDescent="0.25"/>
    <row r="119" s="37" customFormat="1" x14ac:dyDescent="0.25"/>
    <row r="120" s="37" customFormat="1" x14ac:dyDescent="0.25"/>
    <row r="121" s="37" customFormat="1" x14ac:dyDescent="0.25"/>
    <row r="122" s="37" customFormat="1" x14ac:dyDescent="0.25"/>
    <row r="123" s="37" customFormat="1" x14ac:dyDescent="0.25"/>
    <row r="124" s="37" customFormat="1" x14ac:dyDescent="0.25"/>
    <row r="125" s="37" customFormat="1" x14ac:dyDescent="0.25"/>
    <row r="126" s="37" customFormat="1" x14ac:dyDescent="0.25"/>
    <row r="127" s="37" customFormat="1" x14ac:dyDescent="0.25"/>
    <row r="128" s="37" customFormat="1" x14ac:dyDescent="0.25"/>
    <row r="129" s="37" customFormat="1" x14ac:dyDescent="0.25"/>
    <row r="130" s="37" customFormat="1" x14ac:dyDescent="0.25"/>
    <row r="131" s="37" customFormat="1" x14ac:dyDescent="0.25"/>
    <row r="132" s="37" customFormat="1" x14ac:dyDescent="0.25"/>
    <row r="133" s="37" customFormat="1" x14ac:dyDescent="0.25"/>
    <row r="134" s="37" customFormat="1" x14ac:dyDescent="0.25"/>
    <row r="135" s="37" customFormat="1" x14ac:dyDescent="0.25"/>
    <row r="136" s="37" customFormat="1" x14ac:dyDescent="0.25"/>
    <row r="137" s="37" customFormat="1" x14ac:dyDescent="0.25"/>
    <row r="138" s="37" customFormat="1" x14ac:dyDescent="0.25"/>
    <row r="139" s="37" customFormat="1" x14ac:dyDescent="0.25"/>
    <row r="140" s="37" customFormat="1" x14ac:dyDescent="0.25"/>
    <row r="141" s="37" customFormat="1" x14ac:dyDescent="0.25"/>
    <row r="142" s="37" customFormat="1" x14ac:dyDescent="0.25"/>
    <row r="143" s="37" customFormat="1" x14ac:dyDescent="0.25"/>
    <row r="144" s="37" customFormat="1" x14ac:dyDescent="0.25"/>
    <row r="145" s="37" customFormat="1" x14ac:dyDescent="0.25"/>
    <row r="146" s="37" customFormat="1" x14ac:dyDescent="0.25"/>
    <row r="147" s="37" customFormat="1" x14ac:dyDescent="0.25"/>
    <row r="148" s="37" customFormat="1" x14ac:dyDescent="0.25"/>
    <row r="149" s="37" customFormat="1" x14ac:dyDescent="0.25"/>
    <row r="150" s="37" customFormat="1" x14ac:dyDescent="0.25"/>
    <row r="151" s="37" customFormat="1" x14ac:dyDescent="0.25"/>
    <row r="152" s="37" customFormat="1" x14ac:dyDescent="0.25"/>
    <row r="153" s="37" customFormat="1" x14ac:dyDescent="0.25"/>
    <row r="154" s="37" customFormat="1" x14ac:dyDescent="0.25"/>
    <row r="155" s="37" customFormat="1" x14ac:dyDescent="0.25"/>
    <row r="156" s="37" customFormat="1" x14ac:dyDescent="0.25"/>
    <row r="157" s="37" customFormat="1" x14ac:dyDescent="0.25"/>
    <row r="158" s="37" customFormat="1" x14ac:dyDescent="0.25"/>
    <row r="159" s="37" customFormat="1" x14ac:dyDescent="0.25"/>
    <row r="160" s="37" customFormat="1" x14ac:dyDescent="0.25"/>
    <row r="161" s="37" customFormat="1" x14ac:dyDescent="0.25"/>
    <row r="162" s="37" customFormat="1" x14ac:dyDescent="0.25"/>
    <row r="163" s="37" customFormat="1" x14ac:dyDescent="0.25"/>
    <row r="164" s="37" customFormat="1" x14ac:dyDescent="0.25"/>
    <row r="165" s="37" customFormat="1" x14ac:dyDescent="0.25"/>
    <row r="166" s="37" customFormat="1" x14ac:dyDescent="0.25"/>
    <row r="167" s="37" customFormat="1" x14ac:dyDescent="0.25"/>
    <row r="168" s="37" customFormat="1" x14ac:dyDescent="0.25"/>
    <row r="169" s="37" customFormat="1" x14ac:dyDescent="0.25"/>
    <row r="170" s="37" customFormat="1" x14ac:dyDescent="0.25"/>
    <row r="171" s="37" customFormat="1" x14ac:dyDescent="0.25"/>
    <row r="172" s="37" customFormat="1" x14ac:dyDescent="0.25"/>
    <row r="173" s="37" customFormat="1" x14ac:dyDescent="0.25"/>
    <row r="174" s="37" customFormat="1" x14ac:dyDescent="0.25"/>
    <row r="175" s="37" customFormat="1" x14ac:dyDescent="0.25"/>
    <row r="176" s="37" customFormat="1" x14ac:dyDescent="0.25"/>
    <row r="177" s="37" customFormat="1" x14ac:dyDescent="0.25"/>
    <row r="178" s="37" customFormat="1" x14ac:dyDescent="0.25"/>
    <row r="179" s="37" customFormat="1" x14ac:dyDescent="0.25"/>
    <row r="180" s="37" customFormat="1" x14ac:dyDescent="0.25"/>
    <row r="181" s="37" customFormat="1" x14ac:dyDescent="0.25"/>
    <row r="182" s="37" customFormat="1" x14ac:dyDescent="0.25"/>
    <row r="183" s="37" customFormat="1" x14ac:dyDescent="0.25"/>
    <row r="184" s="37" customFormat="1" x14ac:dyDescent="0.25"/>
    <row r="185" s="37" customFormat="1" x14ac:dyDescent="0.25"/>
    <row r="186" s="37" customFormat="1" x14ac:dyDescent="0.25"/>
    <row r="187" s="37" customFormat="1" x14ac:dyDescent="0.25"/>
    <row r="188" s="37" customFormat="1" x14ac:dyDescent="0.25"/>
    <row r="189" s="37" customFormat="1" x14ac:dyDescent="0.25"/>
    <row r="190" s="37" customFormat="1" x14ac:dyDescent="0.25"/>
    <row r="191" s="37" customFormat="1" x14ac:dyDescent="0.25"/>
    <row r="192" s="37" customFormat="1" x14ac:dyDescent="0.25"/>
    <row r="193" s="37" customFormat="1" x14ac:dyDescent="0.25"/>
    <row r="194" s="37" customFormat="1" x14ac:dyDescent="0.25"/>
    <row r="195" s="37" customFormat="1" x14ac:dyDescent="0.25"/>
    <row r="196" s="37" customFormat="1" x14ac:dyDescent="0.25"/>
    <row r="197" s="37" customFormat="1" x14ac:dyDescent="0.25"/>
    <row r="198" s="37" customFormat="1" x14ac:dyDescent="0.25"/>
    <row r="199" s="37" customFormat="1" x14ac:dyDescent="0.25"/>
    <row r="200" s="37" customFormat="1" x14ac:dyDescent="0.25"/>
    <row r="201" s="37" customFormat="1" x14ac:dyDescent="0.25"/>
    <row r="202" s="37" customFormat="1" x14ac:dyDescent="0.25"/>
    <row r="203" s="37" customFormat="1" x14ac:dyDescent="0.25"/>
    <row r="204" s="37" customFormat="1" x14ac:dyDescent="0.25"/>
    <row r="205" s="37" customFormat="1" x14ac:dyDescent="0.25"/>
    <row r="206" s="37" customFormat="1" x14ac:dyDescent="0.25"/>
    <row r="207" s="37" customFormat="1" x14ac:dyDescent="0.25"/>
    <row r="208" s="37" customFormat="1" x14ac:dyDescent="0.25"/>
    <row r="209" spans="21:23" s="37" customFormat="1" x14ac:dyDescent="0.25"/>
    <row r="210" spans="21:23" s="37" customFormat="1" x14ac:dyDescent="0.25"/>
    <row r="211" spans="21:23" s="37" customFormat="1" x14ac:dyDescent="0.25"/>
    <row r="212" spans="21:23" s="37" customFormat="1" x14ac:dyDescent="0.25"/>
    <row r="213" spans="21:23" s="37" customFormat="1" x14ac:dyDescent="0.25"/>
    <row r="214" spans="21:23" s="37" customFormat="1" x14ac:dyDescent="0.25"/>
    <row r="215" spans="21:23" s="37" customFormat="1" x14ac:dyDescent="0.25"/>
    <row r="216" spans="21:23" s="37" customFormat="1" x14ac:dyDescent="0.25"/>
    <row r="217" spans="21:23" s="37" customFormat="1" x14ac:dyDescent="0.25"/>
    <row r="218" spans="21:23" s="37" customFormat="1" x14ac:dyDescent="0.25"/>
    <row r="219" spans="21:23" s="37" customFormat="1" x14ac:dyDescent="0.25"/>
    <row r="220" spans="21:23" s="37" customFormat="1" x14ac:dyDescent="0.25"/>
    <row r="221" spans="21:23" s="37" customFormat="1" x14ac:dyDescent="0.25"/>
    <row r="222" spans="21:23" s="37" customFormat="1" x14ac:dyDescent="0.25"/>
    <row r="223" spans="21:23" s="37" customFormat="1" x14ac:dyDescent="0.25"/>
    <row r="224" spans="21:23" s="37" customFormat="1" x14ac:dyDescent="0.25">
      <c r="U224" s="65"/>
      <c r="V224" s="65"/>
      <c r="W224" s="65"/>
    </row>
    <row r="225" spans="21:23" s="37" customFormat="1" x14ac:dyDescent="0.25">
      <c r="U225" s="65"/>
      <c r="V225" s="65"/>
      <c r="W225" s="65"/>
    </row>
    <row r="226" spans="21:23" s="37" customFormat="1" x14ac:dyDescent="0.25">
      <c r="U226" s="65"/>
      <c r="V226" s="65"/>
      <c r="W226" s="65"/>
    </row>
    <row r="227" spans="21:23" s="37" customFormat="1" x14ac:dyDescent="0.25">
      <c r="U227" s="65"/>
      <c r="V227" s="65"/>
      <c r="W227" s="65"/>
    </row>
    <row r="228" spans="21:23" s="37" customFormat="1" x14ac:dyDescent="0.25">
      <c r="U228" s="65"/>
      <c r="V228" s="65"/>
      <c r="W228" s="65"/>
    </row>
    <row r="229" spans="21:23" s="37" customFormat="1" x14ac:dyDescent="0.25">
      <c r="U229" s="65"/>
      <c r="V229" s="65"/>
      <c r="W229" s="65"/>
    </row>
    <row r="230" spans="21:23" s="37" customFormat="1" x14ac:dyDescent="0.25">
      <c r="U230" s="65"/>
      <c r="V230" s="65"/>
      <c r="W230" s="65"/>
    </row>
    <row r="231" spans="21:23" s="37" customFormat="1" x14ac:dyDescent="0.25">
      <c r="U231" s="65"/>
      <c r="V231" s="65"/>
      <c r="W231" s="65"/>
    </row>
    <row r="232" spans="21:23" s="37" customFormat="1" x14ac:dyDescent="0.25">
      <c r="U232" s="65"/>
      <c r="V232" s="65"/>
      <c r="W232" s="65"/>
    </row>
    <row r="233" spans="21:23" s="37" customFormat="1" x14ac:dyDescent="0.25">
      <c r="U233" s="65"/>
      <c r="V233" s="65"/>
      <c r="W233" s="65"/>
    </row>
    <row r="234" spans="21:23" s="37" customFormat="1" x14ac:dyDescent="0.25">
      <c r="U234" s="65"/>
      <c r="V234" s="65"/>
      <c r="W234" s="65"/>
    </row>
    <row r="235" spans="21:23" s="37" customFormat="1" x14ac:dyDescent="0.25">
      <c r="U235" s="65"/>
      <c r="V235" s="65"/>
      <c r="W235" s="65"/>
    </row>
    <row r="236" spans="21:23" s="37" customFormat="1" x14ac:dyDescent="0.25">
      <c r="U236" s="65"/>
      <c r="V236" s="65"/>
      <c r="W236" s="65"/>
    </row>
    <row r="237" spans="21:23" s="37" customFormat="1" x14ac:dyDescent="0.25">
      <c r="U237" s="65"/>
      <c r="V237" s="65"/>
      <c r="W237" s="65"/>
    </row>
    <row r="238" spans="21:23" s="37" customFormat="1" x14ac:dyDescent="0.25">
      <c r="U238" s="65"/>
      <c r="V238" s="65"/>
      <c r="W238" s="65"/>
    </row>
    <row r="239" spans="21:23" s="37" customFormat="1" x14ac:dyDescent="0.25">
      <c r="U239" s="65"/>
      <c r="V239" s="65"/>
      <c r="W239" s="65"/>
    </row>
    <row r="240" spans="21:23" s="37" customFormat="1" x14ac:dyDescent="0.25">
      <c r="U240" s="65"/>
      <c r="V240" s="65"/>
      <c r="W240" s="65"/>
    </row>
    <row r="241" spans="3:23" s="37" customFormat="1" x14ac:dyDescent="0.25">
      <c r="U241" s="65"/>
      <c r="V241" s="65"/>
      <c r="W241" s="65"/>
    </row>
    <row r="242" spans="3:23" s="37" customFormat="1" x14ac:dyDescent="0.25">
      <c r="U242" s="65"/>
      <c r="V242" s="65"/>
      <c r="W242" s="65"/>
    </row>
    <row r="243" spans="3:23" s="37" customFormat="1" x14ac:dyDescent="0.25">
      <c r="U243" s="65"/>
      <c r="V243" s="65"/>
      <c r="W243" s="65"/>
    </row>
    <row r="244" spans="3:23" s="37" customFormat="1" x14ac:dyDescent="0.25">
      <c r="U244" s="65"/>
      <c r="V244" s="65"/>
      <c r="W244" s="65"/>
    </row>
    <row r="245" spans="3:23" s="37" customFormat="1" x14ac:dyDescent="0.25">
      <c r="C245" s="65"/>
      <c r="D245" s="65"/>
      <c r="E245" s="65"/>
      <c r="F245" s="65"/>
      <c r="G245" s="65"/>
      <c r="U245" s="65"/>
      <c r="V245" s="65"/>
      <c r="W245" s="65"/>
    </row>
    <row r="246" spans="3:23" s="37" customFormat="1" x14ac:dyDescent="0.25">
      <c r="C246" s="65"/>
      <c r="D246" s="65"/>
      <c r="E246" s="65"/>
      <c r="F246" s="65"/>
      <c r="G246" s="65"/>
      <c r="U246" s="65"/>
      <c r="V246" s="65"/>
      <c r="W246" s="65"/>
    </row>
    <row r="247" spans="3:23" s="37" customFormat="1" x14ac:dyDescent="0.25">
      <c r="C247" s="65"/>
      <c r="D247" s="65"/>
      <c r="E247" s="65"/>
      <c r="F247" s="65"/>
      <c r="G247" s="65"/>
      <c r="U247" s="65"/>
      <c r="V247" s="65"/>
      <c r="W247" s="65"/>
    </row>
    <row r="248" spans="3:23" s="37" customFormat="1" x14ac:dyDescent="0.25">
      <c r="C248" s="65"/>
      <c r="D248" s="65"/>
      <c r="E248" s="65"/>
      <c r="F248" s="65"/>
      <c r="G248" s="65"/>
      <c r="U248" s="65"/>
      <c r="V248" s="65"/>
      <c r="W248" s="65"/>
    </row>
  </sheetData>
  <sheetProtection algorithmName="SHA-512" hashValue="UYQK42K86mFIaW9owRnoAfFMmQl9sxeDX9zCWHIFvFgHHgKRkO8adaGfYi7947YOjtAiG6CbK9XVJrIA4AV1kA==" saltValue="F6Bm+6dSABrDDbRi+52iWw==" spinCount="100000" sheet="1" sort="0" autoFilter="0"/>
  <mergeCells count="12">
    <mergeCell ref="E13:F13"/>
    <mergeCell ref="T19:V22"/>
    <mergeCell ref="E16:F16"/>
    <mergeCell ref="D40:F40"/>
    <mergeCell ref="D48:F48"/>
    <mergeCell ref="M13:N13"/>
    <mergeCell ref="M16:N16"/>
    <mergeCell ref="D49:F49"/>
    <mergeCell ref="D41:F41"/>
    <mergeCell ref="D47:F47"/>
    <mergeCell ref="L40:N43"/>
    <mergeCell ref="D43:F46"/>
  </mergeCells>
  <dataValidations count="2">
    <dataValidation type="list" allowBlank="1" showInputMessage="1" showErrorMessage="1" sqref="E33:F33 M33:N33">
      <formula1>"ja,nee"</formula1>
    </dataValidation>
    <dataValidation type="list" allowBlank="1" showInputMessage="1" showErrorMessage="1" sqref="F30">
      <formula1>#REF!</formula1>
    </dataValidation>
  </dataValidations>
  <pageMargins left="0.7" right="0.7" top="0.75" bottom="0.75" header="0.3" footer="0.3"/>
  <pageSetup paperSize="9" scale="33" orientation="portrait" r:id="rId1"/>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Hulptabellen!$C$5:$C$24</xm:f>
          </x14:formula1>
          <xm:sqref>E24</xm:sqref>
        </x14:dataValidation>
        <x14:dataValidation type="list" allowBlank="1" showInputMessage="1" showErrorMessage="1">
          <x14:formula1>
            <xm:f>Hulptabellen!$D$5:$D$24</xm:f>
          </x14:formula1>
          <xm:sqref>F24</xm:sqref>
        </x14:dataValidation>
        <x14:dataValidation type="list" allowBlank="1" showInputMessage="1" showErrorMessage="1">
          <x14:formula1>
            <xm:f>Hulptabellen!$F$5:$F$24</xm:f>
          </x14:formula1>
          <xm:sqref>N24</xm:sqref>
        </x14:dataValidation>
        <x14:dataValidation type="list" showInputMessage="1" showErrorMessage="1">
          <x14:formula1>
            <xm:f>Hulptabellen!$E$5:$E$24</xm:f>
          </x14:formula1>
          <xm:sqref>M24</xm:sqref>
        </x14:dataValidation>
        <x14:dataValidation type="list" allowBlank="1" showInputMessage="1" showErrorMessage="1">
          <x14:formula1>
            <xm:f>Hulptabellen!$L$14:$L$25</xm:f>
          </x14:formula1>
          <xm:sqref>F19:F20</xm:sqref>
        </x14:dataValidation>
        <x14:dataValidation type="list" allowBlank="1" showInputMessage="1" showErrorMessage="1">
          <x14:formula1>
            <xm:f>Hulptabellen!$H$2:$H$37</xm:f>
          </x14:formula1>
          <xm:sqref>E23:F23</xm:sqref>
        </x14:dataValidation>
        <x14:dataValidation type="list" allowBlank="1" showInputMessage="1" showErrorMessage="1">
          <x14:formula1>
            <xm:f>Hulptabellen!$H$2:$H$37</xm:f>
          </x14:formula1>
          <xm:sqref>M23:N23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X173"/>
  <sheetViews>
    <sheetView topLeftCell="A43" zoomScaleNormal="100" workbookViewId="0">
      <selection activeCell="F18" sqref="F18:G18"/>
    </sheetView>
  </sheetViews>
  <sheetFormatPr defaultColWidth="9.7109375" defaultRowHeight="18.75" x14ac:dyDescent="0.2"/>
  <cols>
    <col min="1" max="1" width="2.5703125" style="17" customWidth="1"/>
    <col min="2" max="2" width="1.5703125" style="17" customWidth="1"/>
    <col min="3" max="3" width="63" style="17" bestFit="1" customWidth="1"/>
    <col min="4" max="4" width="2.28515625" style="17" customWidth="1"/>
    <col min="5" max="5" width="1.5703125" style="17" customWidth="1"/>
    <col min="6" max="7" width="13.7109375" style="36" customWidth="1"/>
    <col min="8" max="9" width="2.28515625" style="36" customWidth="1"/>
    <col min="10" max="10" width="1.5703125" style="17" customWidth="1"/>
    <col min="11" max="11" width="13.7109375" style="118" customWidth="1"/>
    <col min="12" max="12" width="13.7109375" style="84" customWidth="1"/>
    <col min="13" max="15" width="2.28515625" style="84" customWidth="1"/>
    <col min="16" max="16" width="10.5703125" style="84" bestFit="1" customWidth="1"/>
    <col min="17" max="18" width="11.85546875" style="84" customWidth="1"/>
    <col min="19" max="19" width="2.28515625" style="84" customWidth="1"/>
    <col min="20" max="20" width="26.140625" style="84" customWidth="1"/>
    <col min="21" max="21" width="2.28515625" style="84" customWidth="1"/>
    <col min="22" max="22" width="10" style="84" bestFit="1" customWidth="1"/>
    <col min="23" max="24" width="9.7109375" style="84"/>
    <col min="25" max="16384" width="9.7109375" style="17"/>
  </cols>
  <sheetData>
    <row r="7" spans="1:21" ht="13.5" customHeight="1" x14ac:dyDescent="0.2">
      <c r="B7" s="28"/>
      <c r="C7" s="30"/>
      <c r="D7" s="30"/>
      <c r="E7" s="30"/>
      <c r="F7" s="168"/>
      <c r="G7" s="31"/>
      <c r="H7" s="31"/>
      <c r="I7" s="86"/>
      <c r="J7" s="35"/>
      <c r="K7" s="119"/>
      <c r="L7" s="17"/>
    </row>
    <row r="8" spans="1:21" ht="30" customHeight="1" x14ac:dyDescent="0.2">
      <c r="B8" s="30"/>
      <c r="C8" s="523" t="s">
        <v>291</v>
      </c>
      <c r="D8" s="524"/>
      <c r="E8" s="524"/>
      <c r="F8" s="524"/>
      <c r="G8" s="524"/>
      <c r="H8" s="31"/>
      <c r="I8" s="86"/>
      <c r="J8" s="35"/>
      <c r="K8" s="119"/>
      <c r="L8" s="17"/>
    </row>
    <row r="9" spans="1:21" ht="13.5" customHeight="1" x14ac:dyDescent="0.2">
      <c r="A9" s="169"/>
      <c r="B9" s="30"/>
      <c r="C9" s="30"/>
      <c r="D9" s="30"/>
      <c r="E9" s="30"/>
      <c r="F9" s="31"/>
      <c r="G9" s="31"/>
      <c r="H9" s="31"/>
      <c r="I9" s="86"/>
      <c r="J9" s="35"/>
      <c r="K9" s="119"/>
      <c r="L9" s="17"/>
    </row>
    <row r="10" spans="1:21" ht="12.95" customHeight="1" x14ac:dyDescent="0.2">
      <c r="C10" s="236"/>
      <c r="D10" s="236"/>
      <c r="E10" s="236"/>
      <c r="F10" s="237"/>
      <c r="G10" s="237"/>
      <c r="H10" s="237"/>
      <c r="I10" s="237"/>
      <c r="J10" s="236"/>
      <c r="K10" s="238"/>
      <c r="L10" s="236"/>
      <c r="M10" s="236"/>
      <c r="N10" s="236"/>
      <c r="O10" s="236"/>
      <c r="P10" s="529" t="s">
        <v>189</v>
      </c>
      <c r="Q10" s="530"/>
    </row>
    <row r="11" spans="1:21" s="106" customFormat="1" ht="23.25" customHeight="1" x14ac:dyDescent="0.2">
      <c r="B11" s="248" t="s">
        <v>224</v>
      </c>
      <c r="C11" s="239"/>
      <c r="D11" s="239"/>
      <c r="E11" s="239"/>
      <c r="F11" s="240" t="s">
        <v>138</v>
      </c>
      <c r="G11" s="241"/>
      <c r="H11" s="241"/>
      <c r="I11" s="242" t="s">
        <v>186</v>
      </c>
      <c r="J11" s="239"/>
      <c r="K11" s="240" t="s">
        <v>139</v>
      </c>
      <c r="L11" s="239"/>
      <c r="M11" s="243"/>
      <c r="N11" s="239" t="s">
        <v>187</v>
      </c>
      <c r="O11" s="239"/>
      <c r="P11" s="530"/>
      <c r="Q11" s="530"/>
    </row>
    <row r="12" spans="1:21" s="106" customFormat="1" ht="15" customHeight="1" x14ac:dyDescent="0.2">
      <c r="B12" s="248"/>
      <c r="C12" s="239"/>
      <c r="D12" s="239"/>
      <c r="E12" s="239"/>
      <c r="F12" s="533" t="str">
        <f>'Invoer gegevens'!E13</f>
        <v>X</v>
      </c>
      <c r="G12" s="534"/>
      <c r="H12" s="241"/>
      <c r="I12" s="242"/>
      <c r="J12" s="239"/>
      <c r="K12" s="535" t="str">
        <f>'Invoer gegevens'!M13</f>
        <v>Y</v>
      </c>
      <c r="L12" s="536"/>
      <c r="M12" s="243"/>
      <c r="N12" s="239"/>
      <c r="O12" s="239"/>
      <c r="P12" s="530"/>
      <c r="Q12" s="530"/>
    </row>
    <row r="13" spans="1:21" s="106" customFormat="1" ht="23.25" customHeight="1" x14ac:dyDescent="0.2">
      <c r="B13" s="248"/>
      <c r="C13" s="239"/>
      <c r="D13" s="239"/>
      <c r="E13" s="239"/>
      <c r="F13" s="240"/>
      <c r="G13" s="241"/>
      <c r="H13" s="241"/>
      <c r="I13" s="242"/>
      <c r="J13" s="239"/>
      <c r="K13" s="240"/>
      <c r="L13" s="239"/>
      <c r="M13" s="243"/>
      <c r="N13" s="239"/>
      <c r="O13" s="239"/>
      <c r="P13" s="530"/>
      <c r="Q13" s="530"/>
    </row>
    <row r="14" spans="1:21" s="112" customFormat="1" ht="17.25" customHeight="1" x14ac:dyDescent="0.2">
      <c r="B14" s="249" t="e">
        <f>+#REF! &amp;" " &amp;#REF!</f>
        <v>#REF!</v>
      </c>
      <c r="C14" s="244"/>
      <c r="D14" s="244"/>
      <c r="E14" s="244"/>
      <c r="F14" s="245"/>
      <c r="G14" s="245"/>
      <c r="H14" s="245"/>
      <c r="I14" s="245"/>
      <c r="J14" s="244"/>
      <c r="K14" s="238"/>
      <c r="L14" s="246"/>
      <c r="M14" s="247"/>
      <c r="N14" s="247"/>
      <c r="O14" s="247"/>
      <c r="P14" s="530"/>
      <c r="Q14" s="530"/>
    </row>
    <row r="15" spans="1:21" s="16" customFormat="1" ht="12.95" customHeight="1" x14ac:dyDescent="0.2">
      <c r="B15" s="11"/>
      <c r="C15" s="26"/>
      <c r="D15" s="17"/>
      <c r="E15" s="46"/>
      <c r="F15" s="45"/>
      <c r="G15" s="45"/>
      <c r="H15" s="45"/>
      <c r="I15" s="118"/>
      <c r="J15" s="46"/>
      <c r="K15" s="45"/>
      <c r="L15" s="45"/>
      <c r="M15" s="26"/>
      <c r="N15" s="33"/>
      <c r="O15" s="100"/>
      <c r="P15" s="100"/>
      <c r="Q15" s="100"/>
      <c r="R15" s="100"/>
      <c r="S15" s="100"/>
      <c r="T15" s="33"/>
      <c r="U15" s="33"/>
    </row>
    <row r="16" spans="1:21" s="16" customFormat="1" ht="12.95" customHeight="1" x14ac:dyDescent="0.2">
      <c r="B16" s="11"/>
      <c r="C16" s="28" t="s">
        <v>56</v>
      </c>
      <c r="D16" s="88"/>
      <c r="E16" s="46"/>
      <c r="F16" s="45"/>
      <c r="G16" s="45"/>
      <c r="H16" s="45"/>
      <c r="I16" s="118"/>
      <c r="J16" s="46"/>
      <c r="K16" s="45"/>
      <c r="L16" s="45"/>
      <c r="M16" s="26"/>
      <c r="N16" s="33"/>
      <c r="O16" s="100"/>
      <c r="P16" s="100"/>
      <c r="Q16" s="100"/>
      <c r="R16" s="100"/>
      <c r="S16" s="100"/>
      <c r="T16" s="33"/>
      <c r="U16" s="33"/>
    </row>
    <row r="17" spans="1:21" s="16" customFormat="1" ht="12.95" customHeight="1" thickBot="1" x14ac:dyDescent="0.25">
      <c r="B17" s="11"/>
      <c r="C17" s="48"/>
      <c r="D17" s="89"/>
      <c r="E17" s="49"/>
      <c r="F17" s="27"/>
      <c r="G17" s="27"/>
      <c r="H17" s="27"/>
      <c r="I17" s="118"/>
      <c r="J17" s="49"/>
      <c r="K17" s="27"/>
      <c r="L17" s="27"/>
      <c r="M17" s="26"/>
      <c r="N17" s="33"/>
      <c r="O17" s="100"/>
      <c r="P17" s="100"/>
      <c r="Q17" s="100"/>
      <c r="R17" s="100"/>
      <c r="S17" s="100"/>
      <c r="T17" s="33"/>
      <c r="U17" s="33"/>
    </row>
    <row r="18" spans="1:21" s="16" customFormat="1" ht="12.95" customHeight="1" thickBot="1" x14ac:dyDescent="0.25">
      <c r="B18" s="11"/>
      <c r="C18" s="26" t="s">
        <v>18</v>
      </c>
      <c r="D18" s="17"/>
      <c r="E18" s="46"/>
      <c r="F18" s="527" t="str">
        <f>'Invoer gegevens'!E13</f>
        <v>X</v>
      </c>
      <c r="G18" s="528"/>
      <c r="H18" s="138"/>
      <c r="I18" s="118"/>
      <c r="J18" s="46"/>
      <c r="K18" s="527" t="str">
        <f>'Invoer gegevens'!M13</f>
        <v>Y</v>
      </c>
      <c r="L18" s="528"/>
      <c r="M18" s="26"/>
      <c r="N18" s="33"/>
      <c r="O18" s="100"/>
      <c r="P18" s="100"/>
      <c r="Q18" s="100"/>
      <c r="R18" s="100"/>
      <c r="S18" s="100"/>
      <c r="T18" s="33"/>
      <c r="U18" s="33"/>
    </row>
    <row r="19" spans="1:21" s="16" customFormat="1" ht="12.95" customHeight="1" thickBot="1" x14ac:dyDescent="0.25">
      <c r="A19" s="32"/>
      <c r="B19" s="15"/>
      <c r="C19" s="26" t="s">
        <v>39</v>
      </c>
      <c r="D19" s="17"/>
      <c r="E19" s="46"/>
      <c r="F19" s="263">
        <f>'Invoer gegevens'!E14</f>
        <v>21186</v>
      </c>
      <c r="G19" s="45"/>
      <c r="H19" s="45"/>
      <c r="I19" s="118"/>
      <c r="J19" s="46"/>
      <c r="K19" s="263">
        <f>'Invoer gegevens'!M14</f>
        <v>28491</v>
      </c>
      <c r="L19" s="45"/>
      <c r="M19" s="26"/>
      <c r="N19" s="33"/>
      <c r="O19" s="100"/>
      <c r="P19" s="100"/>
      <c r="Q19" s="100"/>
      <c r="R19" s="100"/>
      <c r="S19" s="100"/>
      <c r="T19" s="33"/>
      <c r="U19" s="33"/>
    </row>
    <row r="20" spans="1:21" s="16" customFormat="1" ht="12.95" customHeight="1" thickBot="1" x14ac:dyDescent="0.25">
      <c r="A20" s="32"/>
      <c r="B20" s="15"/>
      <c r="C20" s="69" t="s">
        <v>236</v>
      </c>
      <c r="D20" s="17"/>
      <c r="E20" s="46"/>
      <c r="F20" s="263" t="str">
        <f>'Invoer gegevens'!E15</f>
        <v>1-1-2025</v>
      </c>
      <c r="G20" s="45"/>
      <c r="H20" s="45"/>
      <c r="I20" s="118"/>
      <c r="J20" s="46"/>
      <c r="K20" s="45"/>
      <c r="L20" s="45"/>
      <c r="M20" s="26"/>
      <c r="N20" s="33"/>
      <c r="O20" s="100"/>
      <c r="P20" s="100"/>
      <c r="Q20" s="100"/>
      <c r="R20" s="100"/>
      <c r="S20" s="100"/>
      <c r="T20" s="33"/>
      <c r="U20" s="33"/>
    </row>
    <row r="21" spans="1:21" s="16" customFormat="1" ht="12.95" customHeight="1" thickBot="1" x14ac:dyDescent="0.25">
      <c r="A21" s="32"/>
      <c r="B21" s="15"/>
      <c r="C21" s="69" t="s">
        <v>108</v>
      </c>
      <c r="D21" s="17"/>
      <c r="E21" s="46"/>
      <c r="F21" s="531" t="str">
        <f>'Invoer gegevens'!E16</f>
        <v>67 jaar</v>
      </c>
      <c r="G21" s="532"/>
      <c r="H21" s="45"/>
      <c r="I21" s="118"/>
      <c r="J21" s="46"/>
      <c r="K21" s="45"/>
      <c r="L21" s="45"/>
      <c r="M21" s="26"/>
      <c r="N21" s="33"/>
      <c r="O21" s="100"/>
      <c r="P21" s="100"/>
      <c r="Q21" s="100"/>
      <c r="R21" s="100"/>
      <c r="S21" s="100"/>
      <c r="T21" s="33"/>
      <c r="U21" s="33"/>
    </row>
    <row r="22" spans="1:21" s="16" customFormat="1" ht="12.95" customHeight="1" x14ac:dyDescent="0.2">
      <c r="A22" s="32"/>
      <c r="B22" s="15"/>
      <c r="C22" s="26"/>
      <c r="D22" s="17"/>
      <c r="E22" s="46"/>
      <c r="F22" s="45"/>
      <c r="G22" s="45"/>
      <c r="H22" s="45"/>
      <c r="I22" s="118"/>
      <c r="J22" s="45"/>
      <c r="K22" s="45"/>
      <c r="L22" s="45"/>
      <c r="M22" s="26"/>
      <c r="N22" s="33"/>
      <c r="O22" s="100"/>
      <c r="P22" s="100"/>
      <c r="Q22" s="100"/>
      <c r="R22" s="100"/>
      <c r="S22" s="100"/>
      <c r="T22" s="33"/>
      <c r="U22" s="33"/>
    </row>
    <row r="23" spans="1:21" s="16" customFormat="1" ht="12.95" customHeight="1" thickBot="1" x14ac:dyDescent="0.25">
      <c r="A23" s="32"/>
      <c r="B23" s="15"/>
      <c r="C23" s="26"/>
      <c r="D23" s="17"/>
      <c r="E23" s="46"/>
      <c r="F23" s="128" t="s">
        <v>192</v>
      </c>
      <c r="G23" s="70" t="s">
        <v>193</v>
      </c>
      <c r="H23" s="42"/>
      <c r="I23" s="118"/>
      <c r="J23" s="46"/>
      <c r="K23" s="128" t="s">
        <v>192</v>
      </c>
      <c r="L23" s="70" t="s">
        <v>193</v>
      </c>
      <c r="M23" s="26"/>
      <c r="N23" s="33"/>
      <c r="O23" s="100"/>
      <c r="P23" s="100"/>
      <c r="Q23" s="100"/>
      <c r="R23" s="100"/>
      <c r="S23" s="100"/>
      <c r="T23" s="33"/>
      <c r="U23" s="33"/>
    </row>
    <row r="24" spans="1:21" s="16" customFormat="1" ht="12.95" customHeight="1" thickBot="1" x14ac:dyDescent="0.25">
      <c r="A24" s="32"/>
      <c r="B24" s="15"/>
      <c r="C24" s="69" t="s">
        <v>269</v>
      </c>
      <c r="D24" s="17"/>
      <c r="E24" s="46"/>
      <c r="F24" s="264">
        <f>'Invoer gegevens'!E19</f>
        <v>2023</v>
      </c>
      <c r="G24" s="264">
        <f>'Invoer gegevens'!G19</f>
        <v>1</v>
      </c>
      <c r="H24" s="139"/>
      <c r="I24" s="118"/>
      <c r="J24" s="46"/>
      <c r="K24" s="264">
        <f>F24</f>
        <v>2023</v>
      </c>
      <c r="L24" s="264">
        <f>G24</f>
        <v>1</v>
      </c>
      <c r="M24" s="26"/>
      <c r="N24" s="33"/>
      <c r="O24" s="100"/>
      <c r="P24" s="100"/>
      <c r="Q24" s="100"/>
      <c r="R24" s="100"/>
      <c r="S24" s="100"/>
      <c r="T24" s="33"/>
      <c r="U24" s="33"/>
    </row>
    <row r="25" spans="1:21" s="16" customFormat="1" ht="12.95" customHeight="1" thickBot="1" x14ac:dyDescent="0.25">
      <c r="A25" s="32"/>
      <c r="B25" s="15"/>
      <c r="C25" s="69" t="s">
        <v>270</v>
      </c>
      <c r="D25" s="17"/>
      <c r="E25" s="46"/>
      <c r="F25" s="264">
        <f>'Invoer gegevens'!E20</f>
        <v>2025</v>
      </c>
      <c r="G25" s="264">
        <f>'Invoer gegevens'!G20</f>
        <v>1</v>
      </c>
      <c r="H25" s="139"/>
      <c r="I25" s="118"/>
      <c r="J25" s="46"/>
      <c r="K25" s="264">
        <f>F25</f>
        <v>2025</v>
      </c>
      <c r="L25" s="264">
        <f>G25</f>
        <v>1</v>
      </c>
      <c r="M25" s="26"/>
      <c r="N25" s="33"/>
      <c r="O25" s="100"/>
      <c r="P25" s="100"/>
      <c r="Q25" s="100"/>
      <c r="R25" s="100"/>
      <c r="S25" s="100"/>
      <c r="T25" s="33"/>
      <c r="U25" s="33"/>
    </row>
    <row r="26" spans="1:21" s="16" customFormat="1" ht="12.95" customHeight="1" thickBot="1" x14ac:dyDescent="0.25">
      <c r="B26" s="15"/>
      <c r="C26" s="26"/>
      <c r="D26" s="17"/>
      <c r="E26" s="46"/>
      <c r="F26" s="45"/>
      <c r="G26" s="45"/>
      <c r="H26" s="45"/>
      <c r="I26" s="118"/>
      <c r="J26" s="46"/>
      <c r="K26" s="45"/>
      <c r="L26" s="45"/>
      <c r="M26" s="26"/>
      <c r="N26" s="33"/>
      <c r="O26" s="100"/>
      <c r="P26" s="100"/>
      <c r="Q26" s="100"/>
      <c r="R26" s="100"/>
      <c r="S26" s="100"/>
      <c r="T26" s="33"/>
      <c r="U26" s="33"/>
    </row>
    <row r="27" spans="1:21" s="16" customFormat="1" ht="12.95" customHeight="1" thickBot="1" x14ac:dyDescent="0.25">
      <c r="B27" s="15"/>
      <c r="C27" s="26" t="s">
        <v>98</v>
      </c>
      <c r="D27" s="17"/>
      <c r="E27" s="46"/>
      <c r="F27" s="265" t="s">
        <v>94</v>
      </c>
      <c r="G27" s="45"/>
      <c r="H27" s="45"/>
      <c r="I27" s="118"/>
      <c r="J27" s="46"/>
      <c r="K27" s="265" t="s">
        <v>94</v>
      </c>
      <c r="L27" s="45"/>
      <c r="M27" s="26"/>
      <c r="N27" s="33"/>
      <c r="O27" s="100"/>
      <c r="P27" s="100"/>
      <c r="Q27" s="100"/>
      <c r="R27" s="100"/>
      <c r="S27" s="100"/>
      <c r="T27" s="33"/>
      <c r="U27" s="33"/>
    </row>
    <row r="28" spans="1:21" s="16" customFormat="1" ht="12.95" customHeight="1" thickBot="1" x14ac:dyDescent="0.25">
      <c r="B28" s="15"/>
      <c r="C28" s="26" t="s">
        <v>96</v>
      </c>
      <c r="D28" s="17"/>
      <c r="E28" s="46"/>
      <c r="F28" s="266">
        <f>'Invoer gegevens'!F26</f>
        <v>0.8</v>
      </c>
      <c r="G28" s="45"/>
      <c r="H28" s="45"/>
      <c r="I28" s="118"/>
      <c r="J28" s="46"/>
      <c r="K28" s="266">
        <f>'Invoer gegevens'!N26</f>
        <v>0.7</v>
      </c>
      <c r="L28" s="45"/>
      <c r="M28" s="26"/>
      <c r="N28" s="33"/>
      <c r="O28" s="100"/>
      <c r="P28" s="100"/>
      <c r="Q28" s="100"/>
      <c r="R28" s="100"/>
      <c r="S28" s="100"/>
      <c r="T28" s="33"/>
      <c r="U28" s="33"/>
    </row>
    <row r="29" spans="1:21" s="16" customFormat="1" ht="12.95" customHeight="1" thickBot="1" x14ac:dyDescent="0.25">
      <c r="B29" s="15"/>
      <c r="C29" s="26" t="s">
        <v>95</v>
      </c>
      <c r="D29" s="17"/>
      <c r="E29" s="46"/>
      <c r="F29" s="267">
        <f>'Invoer gegevens'!F28</f>
        <v>0.9</v>
      </c>
      <c r="G29" s="45"/>
      <c r="H29" s="45"/>
      <c r="I29" s="118"/>
      <c r="J29" s="46"/>
      <c r="K29" s="51"/>
      <c r="L29" s="45"/>
      <c r="M29" s="26"/>
      <c r="N29" s="33"/>
      <c r="O29" s="100"/>
      <c r="P29" s="100"/>
      <c r="Q29" s="100"/>
      <c r="R29" s="100"/>
      <c r="S29" s="100"/>
      <c r="T29" s="33"/>
      <c r="U29" s="33"/>
    </row>
    <row r="30" spans="1:21" s="16" customFormat="1" ht="12.95" customHeight="1" thickBot="1" x14ac:dyDescent="0.25">
      <c r="B30" s="15"/>
      <c r="C30" s="26" t="s">
        <v>97</v>
      </c>
      <c r="D30" s="17"/>
      <c r="E30" s="46"/>
      <c r="F30" s="267">
        <v>1</v>
      </c>
      <c r="G30" s="45"/>
      <c r="H30" s="45"/>
      <c r="I30" s="118"/>
      <c r="J30" s="11"/>
      <c r="K30" s="11"/>
      <c r="L30" s="11"/>
      <c r="M30" s="11"/>
      <c r="N30" s="33"/>
      <c r="O30" s="100"/>
      <c r="P30" s="100"/>
      <c r="Q30" s="100"/>
      <c r="R30" s="100"/>
      <c r="S30" s="100"/>
      <c r="T30" s="33"/>
      <c r="U30" s="33"/>
    </row>
    <row r="31" spans="1:21" s="16" customFormat="1" ht="12.95" customHeight="1" x14ac:dyDescent="0.2">
      <c r="B31" s="15"/>
      <c r="C31" s="26"/>
      <c r="D31" s="17"/>
      <c r="E31" s="46"/>
      <c r="F31" s="45"/>
      <c r="G31" s="45"/>
      <c r="H31" s="45"/>
      <c r="I31" s="118"/>
      <c r="J31" s="26"/>
      <c r="K31" s="27"/>
      <c r="L31" s="27"/>
      <c r="M31" s="26"/>
      <c r="N31" s="33"/>
      <c r="O31" s="100"/>
      <c r="P31" s="100"/>
      <c r="Q31" s="100"/>
      <c r="R31" s="100"/>
      <c r="S31" s="100"/>
      <c r="T31" s="33"/>
      <c r="U31" s="33"/>
    </row>
    <row r="32" spans="1:21" s="16" customFormat="1" ht="12.95" customHeight="1" x14ac:dyDescent="0.2">
      <c r="B32" s="17"/>
      <c r="C32" s="17"/>
      <c r="D32" s="17"/>
      <c r="E32" s="17"/>
      <c r="F32" s="36"/>
      <c r="G32" s="36"/>
      <c r="H32" s="36"/>
      <c r="I32" s="118"/>
      <c r="J32" s="12"/>
      <c r="K32" s="13"/>
      <c r="L32" s="13"/>
      <c r="M32" s="12"/>
      <c r="N32" s="33"/>
      <c r="O32" s="33"/>
      <c r="P32" s="33"/>
      <c r="Q32" s="33"/>
      <c r="R32" s="33"/>
      <c r="S32" s="33"/>
      <c r="T32" s="33"/>
      <c r="U32" s="33"/>
    </row>
    <row r="33" spans="2:21" s="16" customFormat="1" ht="12.95" customHeight="1" thickBot="1" x14ac:dyDescent="0.25">
      <c r="B33" s="11"/>
      <c r="C33" s="28"/>
      <c r="D33" s="88"/>
      <c r="E33" s="46"/>
      <c r="F33" s="45"/>
      <c r="G33" s="45"/>
      <c r="H33" s="45"/>
      <c r="I33" s="118"/>
      <c r="J33" s="46"/>
      <c r="K33" s="45"/>
      <c r="L33" s="45"/>
      <c r="M33" s="26"/>
      <c r="N33" s="33"/>
      <c r="O33" s="100"/>
      <c r="P33" s="100"/>
      <c r="Q33" s="100"/>
      <c r="R33" s="100"/>
      <c r="S33" s="100"/>
      <c r="T33" s="33"/>
      <c r="U33" s="33"/>
    </row>
    <row r="34" spans="2:21" s="16" customFormat="1" ht="19.5" thickBot="1" x14ac:dyDescent="0.25">
      <c r="B34" s="11"/>
      <c r="C34" s="28"/>
      <c r="D34" s="89"/>
      <c r="E34" s="46"/>
      <c r="F34" s="254" t="s">
        <v>124</v>
      </c>
      <c r="G34" s="254" t="s">
        <v>125</v>
      </c>
      <c r="H34" s="132"/>
      <c r="I34" s="118"/>
      <c r="J34" s="46"/>
      <c r="K34" s="254" t="s">
        <v>124</v>
      </c>
      <c r="L34" s="254" t="s">
        <v>125</v>
      </c>
      <c r="M34" s="26"/>
      <c r="N34" s="33"/>
      <c r="O34" s="100"/>
      <c r="P34" s="525" t="s">
        <v>245</v>
      </c>
      <c r="Q34" s="526"/>
      <c r="R34" s="526"/>
      <c r="S34" s="100"/>
      <c r="T34" s="33"/>
      <c r="U34" s="33"/>
    </row>
    <row r="35" spans="2:21" s="16" customFormat="1" ht="30.75" thickBot="1" x14ac:dyDescent="0.25">
      <c r="B35" s="11"/>
      <c r="C35" s="43"/>
      <c r="D35" s="89"/>
      <c r="E35" s="46"/>
      <c r="F35" s="45"/>
      <c r="G35" s="45"/>
      <c r="H35" s="132"/>
      <c r="I35" s="118"/>
      <c r="J35" s="46"/>
      <c r="K35" s="45"/>
      <c r="L35" s="45"/>
      <c r="M35" s="26"/>
      <c r="N35" s="33"/>
      <c r="O35" s="100"/>
      <c r="P35" s="255" t="s">
        <v>194</v>
      </c>
      <c r="Q35" s="255" t="s">
        <v>243</v>
      </c>
      <c r="R35" s="255" t="s">
        <v>244</v>
      </c>
      <c r="S35" s="100"/>
      <c r="T35" s="33"/>
      <c r="U35" s="33"/>
    </row>
    <row r="36" spans="2:21" s="16" customFormat="1" ht="15" customHeight="1" thickBot="1" x14ac:dyDescent="0.25">
      <c r="B36" s="11"/>
      <c r="C36" s="28" t="s">
        <v>5</v>
      </c>
      <c r="D36" s="89"/>
      <c r="E36" s="46"/>
      <c r="F36" s="45"/>
      <c r="G36" s="45"/>
      <c r="H36" s="45"/>
      <c r="I36" s="118"/>
      <c r="J36" s="46"/>
      <c r="K36" s="45"/>
      <c r="L36" s="45"/>
      <c r="M36" s="26"/>
      <c r="N36" s="33"/>
      <c r="O36" s="100"/>
      <c r="P36" s="100"/>
      <c r="Q36" s="100"/>
      <c r="R36" s="100"/>
      <c r="S36" s="100"/>
      <c r="T36" s="33"/>
      <c r="U36" s="33"/>
    </row>
    <row r="37" spans="2:21" s="16" customFormat="1" ht="12.95" customHeight="1" thickBot="1" x14ac:dyDescent="0.25">
      <c r="B37" s="11"/>
      <c r="C37" s="26" t="s">
        <v>264</v>
      </c>
      <c r="D37" s="17"/>
      <c r="E37" s="46"/>
      <c r="F37" s="261" t="str">
        <f>'Invoer gegevens'!E23</f>
        <v>LB</v>
      </c>
      <c r="G37" s="261" t="str">
        <f>'Invoer gegevens'!F23</f>
        <v>LB</v>
      </c>
      <c r="H37" s="133"/>
      <c r="I37" s="118"/>
      <c r="J37" s="46"/>
      <c r="K37" s="261" t="str">
        <f>'Invoer gegevens'!M23</f>
        <v>LB</v>
      </c>
      <c r="L37" s="261" t="str">
        <f>'Invoer gegevens'!N23</f>
        <v>LB</v>
      </c>
      <c r="M37" s="26"/>
      <c r="N37" s="33"/>
      <c r="O37" s="100"/>
      <c r="P37" s="100"/>
      <c r="Q37" s="100"/>
      <c r="R37" s="100"/>
      <c r="S37" s="100"/>
      <c r="T37" s="33"/>
      <c r="U37" s="33"/>
    </row>
    <row r="38" spans="2:21" s="16" customFormat="1" ht="12.95" customHeight="1" thickBot="1" x14ac:dyDescent="0.25">
      <c r="B38" s="11"/>
      <c r="C38" s="26" t="s">
        <v>265</v>
      </c>
      <c r="D38" s="17"/>
      <c r="E38" s="46"/>
      <c r="F38" s="268">
        <v>12</v>
      </c>
      <c r="G38" s="268">
        <v>12</v>
      </c>
      <c r="H38" s="134"/>
      <c r="I38" s="118"/>
      <c r="J38" s="46"/>
      <c r="K38" s="274">
        <f>'Invoer gegevens'!M24</f>
        <v>9</v>
      </c>
      <c r="L38" s="274">
        <f>K38</f>
        <v>9</v>
      </c>
      <c r="M38" s="26"/>
      <c r="N38" s="33"/>
      <c r="O38" s="100"/>
      <c r="P38" s="100"/>
      <c r="Q38" s="100"/>
      <c r="R38" s="100"/>
      <c r="S38" s="100"/>
      <c r="T38" s="33"/>
      <c r="U38" s="33"/>
    </row>
    <row r="39" spans="2:21" s="16" customFormat="1" ht="12.95" customHeight="1" thickBot="1" x14ac:dyDescent="0.25">
      <c r="B39" s="11"/>
      <c r="C39" s="26" t="s">
        <v>273</v>
      </c>
      <c r="D39" s="17"/>
      <c r="E39" s="46"/>
      <c r="F39" s="269">
        <f>VLOOKUP(F37,Saltab2023,F38+5,FALSE)</f>
        <v>4573</v>
      </c>
      <c r="G39" s="269">
        <f>VLOOKUP(G37,Saltab2023,G38+5,FALSE)</f>
        <v>4573</v>
      </c>
      <c r="H39" s="58"/>
      <c r="I39" s="118"/>
      <c r="J39" s="46"/>
      <c r="K39" s="269">
        <f>VLOOKUP(K37,Saltab2023,K38+5,FALSE)</f>
        <v>3929</v>
      </c>
      <c r="L39" s="269">
        <f>VLOOKUP(L37,Saltab2023,L38+5,FALSE)</f>
        <v>3929</v>
      </c>
      <c r="M39" s="26"/>
      <c r="N39" s="33"/>
      <c r="O39" s="100"/>
      <c r="P39" s="100"/>
      <c r="Q39" s="100"/>
      <c r="R39" s="100"/>
      <c r="S39" s="100"/>
      <c r="T39" s="33"/>
      <c r="U39" s="33"/>
    </row>
    <row r="40" spans="2:21" s="16" customFormat="1" ht="12.95" customHeight="1" thickBot="1" x14ac:dyDescent="0.25">
      <c r="B40" s="11"/>
      <c r="C40" s="26" t="s">
        <v>121</v>
      </c>
      <c r="D40" s="17"/>
      <c r="E40" s="46"/>
      <c r="F40" s="270">
        <f>'Invoer gegevens'!E26</f>
        <v>1</v>
      </c>
      <c r="G40" s="270">
        <f>'Invoer gegevens'!F26</f>
        <v>0.8</v>
      </c>
      <c r="H40" s="135"/>
      <c r="I40" s="118"/>
      <c r="J40" s="46"/>
      <c r="K40" s="270">
        <f>'Invoer gegevens'!M26</f>
        <v>0.5</v>
      </c>
      <c r="L40" s="270">
        <f>K28</f>
        <v>0.7</v>
      </c>
      <c r="M40" s="26"/>
      <c r="N40" s="33"/>
      <c r="O40" s="100"/>
      <c r="P40" s="100"/>
      <c r="Q40" s="100"/>
      <c r="R40" s="100"/>
      <c r="S40" s="100"/>
      <c r="T40" s="33"/>
      <c r="U40" s="33"/>
    </row>
    <row r="41" spans="2:21" s="16" customFormat="1" ht="12.95" customHeight="1" x14ac:dyDescent="0.2">
      <c r="B41" s="11"/>
      <c r="C41" s="26"/>
      <c r="D41" s="17"/>
      <c r="E41" s="46"/>
      <c r="F41" s="53"/>
      <c r="G41" s="53"/>
      <c r="H41" s="53"/>
      <c r="I41" s="118"/>
      <c r="J41" s="46"/>
      <c r="K41" s="53"/>
      <c r="L41" s="53"/>
      <c r="M41" s="26"/>
      <c r="N41" s="33"/>
      <c r="O41" s="100"/>
      <c r="P41" s="100"/>
      <c r="Q41" s="100"/>
      <c r="R41" s="100"/>
      <c r="S41" s="100"/>
      <c r="T41" s="33"/>
      <c r="U41" s="33"/>
    </row>
    <row r="42" spans="2:21" s="16" customFormat="1" ht="12.95" customHeight="1" x14ac:dyDescent="0.2">
      <c r="B42" s="11"/>
      <c r="C42" s="44" t="s">
        <v>248</v>
      </c>
      <c r="D42" s="17"/>
      <c r="E42" s="46"/>
      <c r="F42" s="53"/>
      <c r="G42" s="53"/>
      <c r="H42" s="53"/>
      <c r="I42" s="118"/>
      <c r="J42" s="46"/>
      <c r="K42" s="53"/>
      <c r="L42" s="53"/>
      <c r="M42" s="26"/>
      <c r="N42" s="33"/>
      <c r="O42" s="100"/>
      <c r="P42" s="100"/>
      <c r="Q42" s="100"/>
      <c r="R42" s="100"/>
      <c r="S42" s="100"/>
      <c r="T42" s="33"/>
      <c r="U42" s="33"/>
    </row>
    <row r="43" spans="2:21" s="16" customFormat="1" ht="12.95" customHeight="1" thickBot="1" x14ac:dyDescent="0.25">
      <c r="B43" s="11"/>
      <c r="C43" s="28"/>
      <c r="D43" s="17"/>
      <c r="E43" s="46"/>
      <c r="F43" s="53"/>
      <c r="G43" s="53"/>
      <c r="H43" s="53"/>
      <c r="I43" s="118"/>
      <c r="J43" s="46"/>
      <c r="K43" s="53"/>
      <c r="L43" s="53"/>
      <c r="M43" s="26"/>
      <c r="N43" s="33"/>
      <c r="O43" s="100"/>
      <c r="P43" s="100"/>
      <c r="Q43" s="100"/>
      <c r="R43" s="100"/>
      <c r="S43" s="100"/>
      <c r="T43" s="33"/>
      <c r="U43" s="33"/>
    </row>
    <row r="44" spans="2:21" s="16" customFormat="1" ht="12.95" customHeight="1" thickBot="1" x14ac:dyDescent="0.25">
      <c r="B44" s="11"/>
      <c r="C44" s="26" t="s">
        <v>250</v>
      </c>
      <c r="D44" s="17"/>
      <c r="E44" s="47"/>
      <c r="F44" s="261">
        <f>'Loonkosten uitgebreid'!AP35</f>
        <v>65926.319999999992</v>
      </c>
      <c r="G44" s="261">
        <f>'Loonkosten uitgebreid'!BB35</f>
        <v>60438.719999999994</v>
      </c>
      <c r="H44" s="133"/>
      <c r="I44" s="118"/>
      <c r="J44" s="47"/>
      <c r="K44" s="261">
        <f>'Loonkosten uitgebreid'!AP107</f>
        <v>29268.720000000001</v>
      </c>
      <c r="L44" s="261">
        <f>'Loonkosten uitgebreid'!BB107</f>
        <v>40777.199999999997</v>
      </c>
      <c r="M44" s="26"/>
      <c r="N44" s="33"/>
      <c r="O44" s="100"/>
      <c r="P44" s="261">
        <f>G44-F44+L44-K44</f>
        <v>6020.8799999999974</v>
      </c>
      <c r="Q44" s="261">
        <f>P44/SUM('Loonkosten uitgebreid'!$H$26:$Q$26)</f>
        <v>6020.8799999999974</v>
      </c>
      <c r="R44" s="261">
        <f>P44/(SUM('Loonkosten uitgebreid'!$H$26:$Q$26)*12)</f>
        <v>501.73999999999978</v>
      </c>
      <c r="S44" s="100"/>
      <c r="T44" s="33"/>
      <c r="U44" s="33"/>
    </row>
    <row r="45" spans="2:21" s="16" customFormat="1" ht="12.95" customHeight="1" collapsed="1" thickBot="1" x14ac:dyDescent="0.25">
      <c r="B45" s="11"/>
      <c r="C45" s="26"/>
      <c r="D45" s="17"/>
      <c r="E45" s="47"/>
      <c r="F45" s="269"/>
      <c r="G45" s="269"/>
      <c r="H45" s="58"/>
      <c r="I45" s="118"/>
      <c r="J45" s="47"/>
      <c r="K45" s="269"/>
      <c r="L45" s="269"/>
      <c r="M45" s="26"/>
      <c r="N45" s="33"/>
      <c r="O45" s="100"/>
      <c r="P45" s="276"/>
      <c r="Q45" s="276"/>
      <c r="R45" s="276"/>
      <c r="S45" s="100"/>
      <c r="T45" s="33"/>
      <c r="U45" s="33"/>
    </row>
    <row r="46" spans="2:21" s="16" customFormat="1" ht="12.95" customHeight="1" thickBot="1" x14ac:dyDescent="0.25">
      <c r="B46" s="26"/>
      <c r="C46" s="43" t="s">
        <v>63</v>
      </c>
      <c r="D46" s="17"/>
      <c r="E46" s="26"/>
      <c r="F46" s="271"/>
      <c r="G46" s="271"/>
      <c r="H46" s="26"/>
      <c r="I46" s="118"/>
      <c r="J46" s="26"/>
      <c r="K46" s="275"/>
      <c r="L46" s="275"/>
      <c r="M46" s="26"/>
      <c r="N46" s="33"/>
      <c r="O46" s="100"/>
      <c r="P46" s="276"/>
      <c r="Q46" s="276"/>
      <c r="R46" s="276"/>
      <c r="S46" s="100"/>
      <c r="T46" s="33"/>
      <c r="U46" s="33"/>
    </row>
    <row r="47" spans="2:21" s="16" customFormat="1" ht="12.95" customHeight="1" collapsed="1" thickBot="1" x14ac:dyDescent="0.25">
      <c r="B47" s="26"/>
      <c r="C47" s="26" t="s">
        <v>61</v>
      </c>
      <c r="D47" s="91"/>
      <c r="E47" s="43"/>
      <c r="F47" s="261">
        <f>'Loonkosten uitgebreid'!AP46</f>
        <v>15971.310887999998</v>
      </c>
      <c r="G47" s="261">
        <f>'Loonkosten uitgebreid'!BB46</f>
        <v>15971.310887999998</v>
      </c>
      <c r="H47" s="133"/>
      <c r="I47" s="118"/>
      <c r="J47" s="26"/>
      <c r="K47" s="261">
        <f>'Loonkosten uitgebreid'!AP118</f>
        <v>8159.6458272780001</v>
      </c>
      <c r="L47" s="261">
        <f>'Loonkosten uitgebreid'!BB118</f>
        <v>11507.900059782</v>
      </c>
      <c r="M47" s="47"/>
      <c r="N47" s="33"/>
      <c r="O47" s="100"/>
      <c r="P47" s="261">
        <f>G47-F47+L47-K47</f>
        <v>3348.2542325039994</v>
      </c>
      <c r="Q47" s="261">
        <f>P47/SUM('Loonkosten uitgebreid'!$H$26:$Q$26)</f>
        <v>3348.2542325039994</v>
      </c>
      <c r="R47" s="261">
        <f>P47/(SUM('Loonkosten uitgebreid'!$H$26:$Q$26)*12)</f>
        <v>279.02118604199995</v>
      </c>
      <c r="S47" s="100"/>
      <c r="T47" s="33"/>
      <c r="U47" s="33"/>
    </row>
    <row r="48" spans="2:21" s="16" customFormat="1" ht="12.95" customHeight="1" collapsed="1" thickBot="1" x14ac:dyDescent="0.25">
      <c r="B48" s="26"/>
      <c r="C48" s="26" t="s">
        <v>197</v>
      </c>
      <c r="D48" s="91"/>
      <c r="E48" s="26"/>
      <c r="F48" s="261">
        <f>'Loonkosten uitgebreid'!AP50</f>
        <v>4091.7193199999992</v>
      </c>
      <c r="G48" s="261">
        <f>'Loonkosten uitgebreid'!BB50</f>
        <v>3713.0749199999991</v>
      </c>
      <c r="H48" s="133"/>
      <c r="I48" s="118"/>
      <c r="J48" s="26"/>
      <c r="K48" s="261">
        <f>'Loonkosten uitgebreid'!AP122</f>
        <v>1845.3884400000002</v>
      </c>
      <c r="L48" s="261">
        <f>'Loonkosten uitgebreid'!BB122</f>
        <v>2582.6065199999994</v>
      </c>
      <c r="M48" s="26"/>
      <c r="N48" s="33"/>
      <c r="O48" s="100"/>
      <c r="P48" s="261">
        <f>G48-F48+L48-K48</f>
        <v>358.57367999999906</v>
      </c>
      <c r="Q48" s="261">
        <f>P48/SUM('Loonkosten uitgebreid'!$H$26:$Q$26)</f>
        <v>358.57367999999906</v>
      </c>
      <c r="R48" s="261">
        <f>P48/(SUM('Loonkosten uitgebreid'!$H$26:$Q$26)*12)</f>
        <v>29.88113999999992</v>
      </c>
      <c r="S48" s="100"/>
      <c r="T48" s="33"/>
      <c r="U48" s="33"/>
    </row>
    <row r="49" spans="1:24" s="91" customFormat="1" ht="13.5" customHeight="1" collapsed="1" thickBot="1" x14ac:dyDescent="0.25">
      <c r="B49" s="43"/>
      <c r="C49" s="43" t="s">
        <v>246</v>
      </c>
      <c r="E49" s="43"/>
      <c r="F49" s="477">
        <f>F47+F48</f>
        <v>20063.030207999996</v>
      </c>
      <c r="G49" s="477">
        <f>G47+G48</f>
        <v>19684.385807999999</v>
      </c>
      <c r="H49" s="478"/>
      <c r="I49" s="479"/>
      <c r="J49" s="43"/>
      <c r="K49" s="477">
        <f>K47+K48</f>
        <v>10005.034267278001</v>
      </c>
      <c r="L49" s="477">
        <f>L47+L48</f>
        <v>14090.506579781999</v>
      </c>
      <c r="M49" s="43"/>
      <c r="N49" s="480"/>
      <c r="O49" s="481"/>
      <c r="P49" s="477">
        <f t="shared" ref="P49:R49" si="0">P47+P48</f>
        <v>3706.8279125039985</v>
      </c>
      <c r="Q49" s="477">
        <f t="shared" si="0"/>
        <v>3706.8279125039985</v>
      </c>
      <c r="R49" s="477">
        <f t="shared" si="0"/>
        <v>308.90232604199986</v>
      </c>
      <c r="S49" s="481"/>
      <c r="T49" s="480"/>
      <c r="U49" s="480"/>
    </row>
    <row r="50" spans="1:24" ht="13.5" hidden="1" customHeight="1" x14ac:dyDescent="0.2">
      <c r="B50" s="26"/>
      <c r="C50" s="44"/>
      <c r="D50" s="90"/>
      <c r="E50" s="44"/>
      <c r="F50" s="272"/>
      <c r="G50" s="272"/>
      <c r="H50" s="28"/>
      <c r="I50" s="119"/>
      <c r="J50" s="43"/>
      <c r="K50" s="272"/>
      <c r="L50" s="272"/>
      <c r="M50" s="26"/>
      <c r="O50" s="99"/>
      <c r="P50" s="277"/>
      <c r="Q50" s="277"/>
      <c r="R50" s="277"/>
      <c r="S50" s="99"/>
      <c r="V50" s="17"/>
      <c r="W50" s="17"/>
      <c r="X50" s="17"/>
    </row>
    <row r="51" spans="1:24" ht="13.5" hidden="1" customHeight="1" x14ac:dyDescent="0.2">
      <c r="B51" s="26"/>
      <c r="C51" s="43" t="s">
        <v>140</v>
      </c>
      <c r="E51" s="26"/>
      <c r="F51" s="272"/>
      <c r="G51" s="272"/>
      <c r="H51" s="28"/>
      <c r="I51" s="119"/>
      <c r="J51" s="43"/>
      <c r="K51" s="272"/>
      <c r="L51" s="272"/>
      <c r="M51" s="26"/>
      <c r="O51" s="99"/>
      <c r="P51" s="277"/>
      <c r="Q51" s="277"/>
      <c r="R51" s="277"/>
      <c r="S51" s="99"/>
      <c r="V51" s="17"/>
      <c r="W51" s="17"/>
      <c r="X51" s="17"/>
    </row>
    <row r="52" spans="1:24" ht="13.5" customHeight="1" collapsed="1" thickBot="1" x14ac:dyDescent="0.25">
      <c r="B52" s="26"/>
      <c r="C52" s="28" t="s">
        <v>141</v>
      </c>
      <c r="D52" s="88"/>
      <c r="E52" s="28"/>
      <c r="F52" s="262">
        <f>F44+F49</f>
        <v>85989.350207999989</v>
      </c>
      <c r="G52" s="262">
        <f>G44+G49</f>
        <v>80123.105807999993</v>
      </c>
      <c r="H52" s="136"/>
      <c r="I52" s="119"/>
      <c r="J52" s="28"/>
      <c r="K52" s="262">
        <f>K44+K49</f>
        <v>39273.754267278004</v>
      </c>
      <c r="L52" s="262">
        <f>L44+L49</f>
        <v>54867.706579781996</v>
      </c>
      <c r="M52" s="26"/>
      <c r="O52" s="99"/>
      <c r="P52" s="262">
        <f t="shared" ref="P52:R52" si="1">P44+P49</f>
        <v>9727.7079125039963</v>
      </c>
      <c r="Q52" s="262">
        <f t="shared" si="1"/>
        <v>9727.7079125039963</v>
      </c>
      <c r="R52" s="262">
        <f t="shared" si="1"/>
        <v>810.6423260419997</v>
      </c>
      <c r="S52" s="99"/>
      <c r="V52" s="17"/>
      <c r="W52" s="17"/>
      <c r="X52" s="17"/>
    </row>
    <row r="53" spans="1:24" ht="19.5" thickBot="1" x14ac:dyDescent="0.25">
      <c r="B53" s="26"/>
      <c r="C53" s="43"/>
      <c r="E53" s="26"/>
      <c r="F53" s="26"/>
      <c r="G53" s="26"/>
      <c r="H53" s="26"/>
      <c r="I53" s="118"/>
      <c r="J53" s="26"/>
      <c r="K53" s="26"/>
      <c r="L53" s="26"/>
      <c r="M53" s="26"/>
      <c r="N53" s="236"/>
      <c r="O53" s="26"/>
      <c r="P53" s="150"/>
      <c r="Q53" s="159"/>
      <c r="R53" s="159"/>
      <c r="S53" s="99"/>
      <c r="V53" s="17"/>
      <c r="W53" s="17"/>
      <c r="X53" s="17"/>
    </row>
    <row r="54" spans="1:24" s="145" customFormat="1" ht="15" customHeight="1" thickBot="1" x14ac:dyDescent="0.25">
      <c r="B54" s="124"/>
      <c r="C54" s="146" t="s">
        <v>168</v>
      </c>
      <c r="E54" s="124"/>
      <c r="F54" s="123"/>
      <c r="G54" s="261">
        <f>G52-F52</f>
        <v>-5866.2443999999959</v>
      </c>
      <c r="H54" s="137"/>
      <c r="I54" s="250" t="str">
        <f>"+"</f>
        <v>+</v>
      </c>
      <c r="J54" s="124"/>
      <c r="K54" s="123"/>
      <c r="L54" s="261">
        <f>L52-K52</f>
        <v>15593.952312503992</v>
      </c>
      <c r="M54" s="124"/>
      <c r="N54" s="252" t="str">
        <f>"="</f>
        <v>=</v>
      </c>
      <c r="O54" s="147"/>
      <c r="P54" s="261">
        <f>G54+L54</f>
        <v>9727.7079125039963</v>
      </c>
      <c r="Q54" s="261">
        <f>P54/SUM('Loonkosten uitgebreid'!$H$26:$Q$26)</f>
        <v>9727.7079125039963</v>
      </c>
      <c r="R54" s="261">
        <f>P54/(SUM('Loonkosten uitgebreid'!$H$26:$Q$26)*12)</f>
        <v>810.6423260419997</v>
      </c>
      <c r="S54" s="147"/>
      <c r="T54" s="148"/>
      <c r="U54" s="148"/>
    </row>
    <row r="55" spans="1:24" s="145" customFormat="1" ht="15" customHeight="1" thickBot="1" x14ac:dyDescent="0.25">
      <c r="B55" s="124"/>
      <c r="C55" s="146"/>
      <c r="E55" s="124"/>
      <c r="F55" s="123"/>
      <c r="G55" s="123"/>
      <c r="H55" s="137"/>
      <c r="I55" s="250"/>
      <c r="J55" s="124"/>
      <c r="K55" s="123"/>
      <c r="L55" s="123"/>
      <c r="M55" s="124"/>
      <c r="N55" s="252"/>
      <c r="O55" s="147"/>
      <c r="P55" s="123"/>
      <c r="Q55" s="123"/>
      <c r="R55" s="123"/>
      <c r="S55" s="147"/>
      <c r="T55" s="148"/>
      <c r="U55" s="148"/>
    </row>
    <row r="56" spans="1:24" ht="13.5" customHeight="1" thickBot="1" x14ac:dyDescent="0.25">
      <c r="B56" s="30"/>
      <c r="C56" s="149" t="s">
        <v>247</v>
      </c>
      <c r="D56" s="35"/>
      <c r="E56" s="30"/>
      <c r="F56" s="262">
        <f>'Loonkosten uitgebreid'!AP72</f>
        <v>12898.402531199998</v>
      </c>
      <c r="G56" s="262">
        <f>'Loonkosten uitgebreid'!BB72</f>
        <v>4835.0976000000001</v>
      </c>
      <c r="H56" s="136"/>
      <c r="I56" s="238"/>
      <c r="J56" s="28"/>
      <c r="K56" s="151"/>
      <c r="L56" s="151"/>
      <c r="M56" s="99"/>
      <c r="N56" s="236"/>
      <c r="O56" s="99"/>
      <c r="P56" s="261">
        <f>G56-F56</f>
        <v>-8063.3049311999976</v>
      </c>
      <c r="Q56" s="261">
        <f>P56/SUM('Loonkosten uitgebreid'!$H$26:$Q$26)</f>
        <v>-8063.3049311999976</v>
      </c>
      <c r="R56" s="261">
        <f>P56/(SUM('Loonkosten uitgebreid'!$H$26:$Q$26)*12)</f>
        <v>-671.94207759999983</v>
      </c>
      <c r="S56" s="99"/>
    </row>
    <row r="57" spans="1:24" ht="13.5" customHeight="1" thickBot="1" x14ac:dyDescent="0.25">
      <c r="B57" s="30"/>
      <c r="C57" s="160" t="s">
        <v>240</v>
      </c>
      <c r="D57" s="161"/>
      <c r="E57" s="162"/>
      <c r="F57" s="273">
        <f>'Invoer gegevens'!U12</f>
        <v>0.15</v>
      </c>
      <c r="G57" s="273">
        <f>'Invoer gegevens'!V12</f>
        <v>0.08</v>
      </c>
      <c r="H57" s="157"/>
      <c r="I57" s="251"/>
      <c r="J57" s="158"/>
      <c r="K57" s="151"/>
      <c r="L57" s="151"/>
      <c r="M57" s="99"/>
      <c r="N57" s="236"/>
      <c r="O57" s="99"/>
      <c r="P57" s="99"/>
      <c r="Q57" s="99"/>
      <c r="R57" s="99"/>
      <c r="S57" s="99"/>
    </row>
    <row r="58" spans="1:24" ht="13.5" customHeight="1" thickBot="1" x14ac:dyDescent="0.25">
      <c r="B58" s="30"/>
      <c r="C58" s="30"/>
      <c r="D58" s="35"/>
      <c r="E58" s="30"/>
      <c r="F58" s="31"/>
      <c r="G58" s="31"/>
      <c r="H58" s="31"/>
      <c r="I58" s="237"/>
      <c r="J58" s="30"/>
      <c r="K58" s="151"/>
      <c r="L58" s="26"/>
      <c r="M58" s="99"/>
      <c r="N58" s="236"/>
      <c r="O58" s="99"/>
      <c r="P58" s="99"/>
      <c r="Q58" s="99"/>
      <c r="R58" s="99"/>
      <c r="S58" s="99"/>
    </row>
    <row r="59" spans="1:24" s="164" customFormat="1" ht="15" customHeight="1" thickBot="1" x14ac:dyDescent="0.25">
      <c r="B59" s="146"/>
      <c r="C59" s="146" t="s">
        <v>168</v>
      </c>
      <c r="E59" s="146"/>
      <c r="F59" s="170"/>
      <c r="G59" s="262">
        <f>G54+G56-F56</f>
        <v>-13929.549331199993</v>
      </c>
      <c r="H59" s="137"/>
      <c r="I59" s="250" t="str">
        <f>"+"</f>
        <v>+</v>
      </c>
      <c r="J59" s="146"/>
      <c r="K59" s="165"/>
      <c r="L59" s="262">
        <f>L54</f>
        <v>15593.952312503992</v>
      </c>
      <c r="M59" s="146"/>
      <c r="N59" s="252" t="str">
        <f>"="</f>
        <v>=</v>
      </c>
      <c r="O59" s="166"/>
      <c r="P59" s="262">
        <f>P54+P56</f>
        <v>1664.4029813039988</v>
      </c>
      <c r="Q59" s="262">
        <f>P59/SUM('Loonkosten uitgebreid'!$H$26:$Q$26)</f>
        <v>1664.4029813039988</v>
      </c>
      <c r="R59" s="262">
        <f>P59/(SUM('Loonkosten uitgebreid'!$H$26:$Q$26)*12)</f>
        <v>138.70024844199989</v>
      </c>
      <c r="S59" s="166"/>
      <c r="T59" s="167"/>
      <c r="U59" s="167"/>
    </row>
    <row r="60" spans="1:24" s="16" customFormat="1" ht="12.95" customHeight="1" x14ac:dyDescent="0.2">
      <c r="A60" s="17"/>
      <c r="B60" s="30"/>
      <c r="C60" s="30"/>
      <c r="D60" s="35"/>
      <c r="E60" s="30"/>
      <c r="F60" s="31"/>
      <c r="G60" s="31"/>
      <c r="H60" s="31"/>
      <c r="I60" s="238"/>
      <c r="J60" s="99"/>
      <c r="K60" s="99"/>
      <c r="L60" s="99"/>
      <c r="M60" s="99"/>
      <c r="N60" s="253"/>
      <c r="O60" s="100"/>
      <c r="P60" s="11"/>
      <c r="Q60" s="11"/>
      <c r="R60" s="11"/>
      <c r="S60" s="100"/>
      <c r="T60" s="33"/>
      <c r="U60" s="33"/>
    </row>
    <row r="61" spans="1:24" ht="13.5" customHeight="1" x14ac:dyDescent="0.2">
      <c r="B61" s="35"/>
      <c r="C61" s="35"/>
      <c r="D61" s="35"/>
      <c r="E61" s="35"/>
      <c r="F61" s="143"/>
      <c r="G61" s="86"/>
      <c r="H61" s="86"/>
      <c r="I61" s="86"/>
      <c r="J61" s="35"/>
      <c r="K61" s="119"/>
      <c r="L61" s="17"/>
      <c r="N61" s="236"/>
    </row>
    <row r="62" spans="1:24" ht="13.5" customHeight="1" x14ac:dyDescent="0.2">
      <c r="B62" s="35"/>
      <c r="C62" s="35"/>
      <c r="D62" s="35"/>
      <c r="E62" s="35"/>
      <c r="F62" s="143"/>
      <c r="G62" s="86"/>
      <c r="H62" s="86"/>
      <c r="I62" s="86"/>
      <c r="J62" s="35"/>
      <c r="K62" s="119"/>
      <c r="L62" s="17"/>
      <c r="Q62" s="153"/>
      <c r="R62" s="153"/>
    </row>
    <row r="66" spans="2:12" ht="13.5" customHeight="1" x14ac:dyDescent="0.2">
      <c r="B66" s="35"/>
      <c r="C66" s="35"/>
      <c r="D66" s="35"/>
      <c r="E66" s="35"/>
      <c r="F66" s="86"/>
      <c r="G66" s="86"/>
      <c r="H66" s="86"/>
      <c r="I66" s="86"/>
      <c r="J66" s="35"/>
      <c r="K66" s="119"/>
      <c r="L66" s="17"/>
    </row>
    <row r="67" spans="2:12" ht="13.5" customHeight="1" x14ac:dyDescent="0.2">
      <c r="B67" s="35"/>
      <c r="C67" s="35"/>
      <c r="D67" s="35"/>
      <c r="E67" s="35"/>
      <c r="F67" s="86"/>
      <c r="G67" s="86"/>
      <c r="H67" s="86"/>
      <c r="I67" s="86"/>
      <c r="J67" s="35"/>
      <c r="K67" s="119"/>
      <c r="L67" s="17"/>
    </row>
    <row r="68" spans="2:12" ht="13.5" customHeight="1" x14ac:dyDescent="0.2">
      <c r="B68" s="35"/>
      <c r="C68" s="35"/>
      <c r="D68" s="35"/>
      <c r="E68" s="35"/>
      <c r="F68" s="86"/>
      <c r="H68" s="86"/>
      <c r="I68" s="86"/>
      <c r="J68" s="35"/>
      <c r="K68" s="119"/>
      <c r="L68" s="17"/>
    </row>
    <row r="69" spans="2:12" ht="13.5" customHeight="1" x14ac:dyDescent="0.2">
      <c r="B69" s="35"/>
      <c r="C69" s="35"/>
      <c r="D69" s="35"/>
      <c r="E69" s="35"/>
      <c r="F69" s="86"/>
      <c r="G69" s="86"/>
      <c r="H69" s="86"/>
      <c r="I69" s="86"/>
      <c r="J69" s="35"/>
      <c r="K69" s="119"/>
      <c r="L69" s="17"/>
    </row>
    <row r="70" spans="2:12" ht="13.5" customHeight="1" x14ac:dyDescent="0.2">
      <c r="B70" s="35"/>
      <c r="C70" s="35"/>
      <c r="D70" s="35"/>
      <c r="E70" s="35"/>
      <c r="F70" s="86"/>
      <c r="G70" s="86"/>
      <c r="H70" s="86"/>
      <c r="I70" s="86"/>
      <c r="J70" s="35"/>
      <c r="K70" s="119"/>
      <c r="L70" s="17"/>
    </row>
    <row r="71" spans="2:12" ht="13.5" customHeight="1" x14ac:dyDescent="0.2">
      <c r="B71" s="35"/>
      <c r="C71" s="35"/>
      <c r="D71" s="35"/>
      <c r="E71" s="35"/>
      <c r="F71" s="86"/>
      <c r="G71" s="86"/>
      <c r="H71" s="86"/>
      <c r="I71" s="86"/>
      <c r="J71" s="35"/>
      <c r="K71" s="119"/>
      <c r="L71" s="17"/>
    </row>
    <row r="72" spans="2:12" ht="13.5" customHeight="1" x14ac:dyDescent="0.2">
      <c r="B72" s="35"/>
      <c r="C72" s="35"/>
      <c r="D72" s="35"/>
      <c r="E72" s="35"/>
      <c r="F72" s="86"/>
      <c r="G72" s="86"/>
      <c r="H72" s="86"/>
      <c r="I72" s="86"/>
      <c r="J72" s="35"/>
      <c r="K72" s="119"/>
      <c r="L72" s="17"/>
    </row>
    <row r="73" spans="2:12" ht="13.5" customHeight="1" x14ac:dyDescent="0.2">
      <c r="B73" s="35"/>
      <c r="C73" s="35"/>
      <c r="D73" s="35"/>
      <c r="E73" s="35"/>
      <c r="F73" s="86"/>
      <c r="G73" s="86"/>
      <c r="H73" s="86"/>
      <c r="I73" s="86"/>
      <c r="J73" s="35"/>
      <c r="K73" s="119"/>
      <c r="L73" s="17"/>
    </row>
    <row r="74" spans="2:12" ht="13.5" customHeight="1" x14ac:dyDescent="0.2">
      <c r="B74" s="35"/>
      <c r="C74" s="35"/>
      <c r="D74" s="35"/>
      <c r="E74" s="35"/>
      <c r="F74" s="86"/>
      <c r="G74" s="86"/>
      <c r="H74" s="86"/>
      <c r="I74" s="86"/>
      <c r="J74" s="35"/>
      <c r="K74" s="119"/>
      <c r="L74" s="17"/>
    </row>
    <row r="75" spans="2:12" ht="13.5" customHeight="1" x14ac:dyDescent="0.2">
      <c r="B75" s="35"/>
      <c r="C75" s="35"/>
      <c r="D75" s="35"/>
      <c r="E75" s="35"/>
      <c r="F75" s="86"/>
      <c r="G75" s="86"/>
      <c r="H75" s="86"/>
      <c r="I75" s="86"/>
      <c r="J75" s="35"/>
      <c r="K75" s="119"/>
      <c r="L75" s="17"/>
    </row>
    <row r="76" spans="2:12" ht="13.5" customHeight="1" x14ac:dyDescent="0.2">
      <c r="B76" s="35"/>
      <c r="C76" s="35"/>
      <c r="D76" s="35"/>
      <c r="E76" s="35"/>
      <c r="F76" s="86"/>
      <c r="G76" s="86"/>
      <c r="H76" s="86"/>
      <c r="I76" s="86"/>
      <c r="J76" s="35"/>
      <c r="K76" s="119"/>
      <c r="L76" s="17"/>
    </row>
    <row r="77" spans="2:12" ht="13.5" customHeight="1" x14ac:dyDescent="0.2">
      <c r="B77" s="35"/>
      <c r="C77" s="35"/>
      <c r="D77" s="35"/>
      <c r="E77" s="35"/>
      <c r="F77" s="86"/>
      <c r="G77" s="86"/>
      <c r="H77" s="86"/>
      <c r="I77" s="86"/>
      <c r="J77" s="35"/>
      <c r="K77" s="119"/>
      <c r="L77" s="17"/>
    </row>
    <row r="78" spans="2:12" ht="13.5" customHeight="1" x14ac:dyDescent="0.2">
      <c r="B78" s="35"/>
      <c r="C78" s="35"/>
      <c r="D78" s="35"/>
      <c r="E78" s="35"/>
      <c r="F78" s="86"/>
      <c r="G78" s="86"/>
      <c r="H78" s="86"/>
      <c r="I78" s="86"/>
      <c r="J78" s="35"/>
      <c r="K78" s="119"/>
      <c r="L78" s="17"/>
    </row>
    <row r="79" spans="2:12" ht="13.5" customHeight="1" x14ac:dyDescent="0.2">
      <c r="B79" s="35"/>
      <c r="C79" s="35"/>
      <c r="D79" s="35"/>
      <c r="E79" s="35"/>
      <c r="F79" s="86"/>
      <c r="G79" s="86"/>
      <c r="H79" s="86"/>
      <c r="I79" s="86"/>
      <c r="J79" s="35"/>
      <c r="K79" s="119"/>
      <c r="L79" s="17"/>
    </row>
    <row r="80" spans="2:12" ht="13.5" customHeight="1" x14ac:dyDescent="0.2">
      <c r="B80" s="35"/>
      <c r="C80" s="35"/>
      <c r="D80" s="35"/>
      <c r="E80" s="35"/>
      <c r="F80" s="86"/>
      <c r="G80" s="86"/>
      <c r="H80" s="86"/>
      <c r="I80" s="86"/>
      <c r="J80" s="35"/>
      <c r="K80" s="119"/>
      <c r="L80" s="17"/>
    </row>
    <row r="81" spans="2:12" ht="13.5" customHeight="1" x14ac:dyDescent="0.2">
      <c r="B81" s="35"/>
      <c r="C81" s="35"/>
      <c r="D81" s="35"/>
      <c r="E81" s="35"/>
      <c r="F81" s="86"/>
      <c r="G81" s="86"/>
      <c r="H81" s="86"/>
      <c r="I81" s="86"/>
      <c r="J81" s="35"/>
      <c r="K81" s="119"/>
      <c r="L81" s="17"/>
    </row>
    <row r="82" spans="2:12" ht="13.5" customHeight="1" x14ac:dyDescent="0.2">
      <c r="B82" s="35"/>
      <c r="C82" s="35"/>
      <c r="D82" s="35"/>
      <c r="E82" s="35"/>
      <c r="F82" s="86"/>
      <c r="G82" s="86"/>
      <c r="H82" s="86"/>
      <c r="I82" s="86"/>
      <c r="J82" s="35"/>
      <c r="K82" s="119"/>
      <c r="L82" s="17"/>
    </row>
    <row r="83" spans="2:12" ht="13.5" customHeight="1" x14ac:dyDescent="0.2">
      <c r="B83" s="35"/>
      <c r="C83" s="84"/>
      <c r="D83" s="35"/>
      <c r="E83" s="35"/>
      <c r="F83" s="86"/>
      <c r="G83" s="86"/>
      <c r="H83" s="86"/>
      <c r="I83" s="86"/>
      <c r="J83" s="35"/>
      <c r="K83" s="119"/>
      <c r="L83" s="17"/>
    </row>
    <row r="84" spans="2:12" ht="13.5" customHeight="1" x14ac:dyDescent="0.2">
      <c r="B84" s="35"/>
      <c r="C84" s="35"/>
      <c r="D84" s="35"/>
      <c r="E84" s="35"/>
      <c r="F84" s="86"/>
      <c r="G84" s="86"/>
      <c r="H84" s="86"/>
      <c r="I84" s="86"/>
      <c r="J84" s="35"/>
      <c r="K84" s="119"/>
      <c r="L84" s="17"/>
    </row>
    <row r="85" spans="2:12" ht="13.5" customHeight="1" x14ac:dyDescent="0.2">
      <c r="B85" s="35"/>
      <c r="C85" s="35"/>
      <c r="D85" s="35"/>
      <c r="E85" s="35"/>
      <c r="F85" s="86"/>
      <c r="G85" s="86"/>
      <c r="H85" s="86"/>
      <c r="I85" s="86"/>
      <c r="J85" s="35"/>
      <c r="K85" s="119"/>
      <c r="L85" s="17"/>
    </row>
    <row r="86" spans="2:12" ht="13.5" customHeight="1" x14ac:dyDescent="0.2">
      <c r="B86" s="35"/>
      <c r="C86" s="35"/>
      <c r="D86" s="35"/>
      <c r="E86" s="35"/>
      <c r="F86" s="86"/>
      <c r="G86" s="86"/>
      <c r="H86" s="86"/>
      <c r="I86" s="86"/>
      <c r="J86" s="35"/>
      <c r="K86" s="119"/>
      <c r="L86" s="17"/>
    </row>
    <row r="87" spans="2:12" ht="13.5" customHeight="1" x14ac:dyDescent="0.2">
      <c r="B87" s="35"/>
      <c r="C87" s="35"/>
      <c r="D87" s="35"/>
      <c r="E87" s="35"/>
      <c r="F87" s="86"/>
      <c r="G87" s="86"/>
      <c r="H87" s="86"/>
      <c r="I87" s="86"/>
      <c r="J87" s="35"/>
      <c r="K87" s="119"/>
      <c r="L87" s="17"/>
    </row>
    <row r="88" spans="2:12" ht="13.5" customHeight="1" x14ac:dyDescent="0.2">
      <c r="B88" s="35"/>
      <c r="C88" s="35"/>
      <c r="D88" s="35"/>
      <c r="E88" s="35"/>
      <c r="F88" s="86"/>
      <c r="G88" s="86"/>
      <c r="H88" s="86"/>
      <c r="I88" s="86"/>
      <c r="J88" s="35"/>
      <c r="K88" s="119"/>
      <c r="L88" s="17"/>
    </row>
    <row r="89" spans="2:12" ht="13.5" customHeight="1" x14ac:dyDescent="0.2">
      <c r="B89" s="35"/>
      <c r="C89" s="35"/>
      <c r="D89" s="35"/>
      <c r="E89" s="35"/>
      <c r="F89" s="86"/>
      <c r="G89" s="86"/>
      <c r="H89" s="86"/>
      <c r="I89" s="86"/>
      <c r="J89" s="35"/>
      <c r="K89" s="119"/>
      <c r="L89" s="17"/>
    </row>
    <row r="90" spans="2:12" ht="13.5" customHeight="1" x14ac:dyDescent="0.2">
      <c r="B90" s="35"/>
      <c r="C90" s="35"/>
      <c r="D90" s="35"/>
      <c r="E90" s="35"/>
      <c r="F90" s="86"/>
      <c r="G90" s="86"/>
      <c r="H90" s="86"/>
      <c r="I90" s="86"/>
      <c r="J90" s="35"/>
      <c r="K90" s="119"/>
      <c r="L90" s="17"/>
    </row>
    <row r="91" spans="2:12" ht="13.5" customHeight="1" x14ac:dyDescent="0.2">
      <c r="B91" s="35"/>
      <c r="C91" s="35"/>
      <c r="D91" s="35"/>
      <c r="E91" s="35"/>
      <c r="F91" s="86"/>
      <c r="G91" s="86"/>
      <c r="H91" s="86"/>
      <c r="I91" s="86"/>
      <c r="J91" s="35"/>
      <c r="K91" s="119"/>
      <c r="L91" s="17"/>
    </row>
    <row r="92" spans="2:12" ht="13.5" customHeight="1" x14ac:dyDescent="0.2">
      <c r="B92" s="35"/>
      <c r="C92" s="35"/>
      <c r="D92" s="35"/>
      <c r="E92" s="35"/>
      <c r="F92" s="86"/>
      <c r="G92" s="86"/>
      <c r="H92" s="86"/>
      <c r="I92" s="86"/>
      <c r="J92" s="35"/>
      <c r="K92" s="119"/>
      <c r="L92" s="17"/>
    </row>
    <row r="93" spans="2:12" ht="13.5" customHeight="1" x14ac:dyDescent="0.2">
      <c r="J93" s="35"/>
      <c r="K93" s="119"/>
      <c r="L93" s="17"/>
    </row>
    <row r="94" spans="2:12" ht="13.5" customHeight="1" x14ac:dyDescent="0.2">
      <c r="K94" s="119"/>
    </row>
    <row r="95" spans="2:12" ht="13.5" customHeight="1" x14ac:dyDescent="0.2">
      <c r="K95" s="119"/>
    </row>
    <row r="96" spans="2:12"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ht="13.5" customHeight="1" x14ac:dyDescent="0.2"/>
    <row r="114" ht="13.5" customHeight="1" x14ac:dyDescent="0.2"/>
    <row r="115" ht="13.5" customHeight="1" x14ac:dyDescent="0.2"/>
    <row r="116" ht="13.5" customHeight="1" x14ac:dyDescent="0.2"/>
    <row r="117" ht="13.5" customHeight="1" x14ac:dyDescent="0.2"/>
    <row r="118" ht="13.5" customHeight="1" x14ac:dyDescent="0.2"/>
    <row r="119" ht="13.5" customHeight="1" x14ac:dyDescent="0.2"/>
    <row r="120" ht="13.5" customHeight="1" x14ac:dyDescent="0.2"/>
    <row r="121" ht="13.5" customHeight="1" x14ac:dyDescent="0.2"/>
    <row r="122" ht="13.5" customHeight="1" x14ac:dyDescent="0.2"/>
    <row r="123" ht="13.5" customHeight="1" x14ac:dyDescent="0.2"/>
    <row r="124" ht="13.5" customHeight="1" x14ac:dyDescent="0.2"/>
    <row r="125" ht="13.5" customHeight="1" x14ac:dyDescent="0.2"/>
    <row r="126" ht="13.5" customHeight="1" x14ac:dyDescent="0.2"/>
    <row r="127" ht="13.5" customHeight="1" x14ac:dyDescent="0.2"/>
    <row r="128" ht="13.5" customHeight="1" x14ac:dyDescent="0.2"/>
    <row r="129" ht="13.5" customHeight="1" x14ac:dyDescent="0.2"/>
    <row r="130" ht="13.5" customHeight="1" x14ac:dyDescent="0.2"/>
    <row r="131" ht="13.5" customHeight="1" x14ac:dyDescent="0.2"/>
    <row r="132" ht="13.5" customHeight="1" x14ac:dyDescent="0.2"/>
    <row r="133" ht="13.5" customHeight="1" x14ac:dyDescent="0.2"/>
    <row r="134" ht="13.5" customHeight="1" x14ac:dyDescent="0.2"/>
    <row r="135" ht="13.5" customHeight="1" x14ac:dyDescent="0.2"/>
    <row r="136" ht="13.5" customHeight="1" x14ac:dyDescent="0.2"/>
    <row r="137" ht="13.5" customHeight="1" x14ac:dyDescent="0.2"/>
    <row r="138" ht="13.5" customHeight="1" x14ac:dyDescent="0.2"/>
    <row r="139" ht="13.5" customHeight="1" x14ac:dyDescent="0.2"/>
    <row r="140" ht="13.5" customHeight="1" x14ac:dyDescent="0.2"/>
    <row r="141" ht="13.5" customHeight="1" x14ac:dyDescent="0.2"/>
    <row r="142" ht="13.5" customHeight="1" x14ac:dyDescent="0.2"/>
    <row r="143" ht="13.5" customHeight="1" x14ac:dyDescent="0.2"/>
    <row r="144"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row r="152" ht="13.5" customHeight="1" x14ac:dyDescent="0.2"/>
    <row r="153" ht="13.5" customHeight="1" x14ac:dyDescent="0.2"/>
    <row r="154" ht="13.5" customHeight="1" x14ac:dyDescent="0.2"/>
    <row r="155" ht="13.5" customHeight="1" x14ac:dyDescent="0.2"/>
    <row r="156" ht="13.5" customHeight="1" x14ac:dyDescent="0.2"/>
    <row r="157" ht="13.5" customHeight="1" x14ac:dyDescent="0.2"/>
    <row r="158" ht="13.5" customHeight="1" x14ac:dyDescent="0.2"/>
    <row r="159" ht="13.5" customHeight="1" x14ac:dyDescent="0.2"/>
    <row r="160" ht="13.5" customHeight="1" x14ac:dyDescent="0.2"/>
    <row r="161" ht="13.5" customHeight="1" x14ac:dyDescent="0.2"/>
    <row r="162" ht="13.5" customHeight="1" x14ac:dyDescent="0.2"/>
    <row r="163" ht="13.5" customHeight="1" x14ac:dyDescent="0.2"/>
    <row r="164" ht="13.5" customHeight="1" x14ac:dyDescent="0.2"/>
    <row r="165" ht="13.5" customHeight="1" x14ac:dyDescent="0.2"/>
    <row r="166" ht="13.5" customHeight="1" x14ac:dyDescent="0.2"/>
    <row r="167" ht="13.5" customHeight="1" x14ac:dyDescent="0.2"/>
    <row r="168" ht="13.5" customHeight="1" x14ac:dyDescent="0.2"/>
    <row r="169" ht="13.5" customHeight="1" x14ac:dyDescent="0.2"/>
    <row r="170" ht="13.5" customHeight="1" x14ac:dyDescent="0.2"/>
    <row r="171" ht="13.5" customHeight="1" x14ac:dyDescent="0.2"/>
    <row r="172" ht="13.5" customHeight="1" x14ac:dyDescent="0.2"/>
    <row r="173" ht="13.5" customHeight="1" x14ac:dyDescent="0.2"/>
  </sheetData>
  <sheetProtection algorithmName="SHA-512" hashValue="5SghjN//hp7W9dcnISJqxYJIAR311Tb3dxF0CV0PPVQpOwybd0WgFraG2bFqaqJR5FL4TiBL89+JQFJ53bZpLg==" saltValue="4BdfskpUhjIPQbmQ2GOjUg==" spinCount="100000" sheet="1" sort="0" autoFilter="0"/>
  <mergeCells count="8">
    <mergeCell ref="C8:G8"/>
    <mergeCell ref="P34:R34"/>
    <mergeCell ref="F18:G18"/>
    <mergeCell ref="K18:L18"/>
    <mergeCell ref="P10:Q14"/>
    <mergeCell ref="F21:G21"/>
    <mergeCell ref="F12:G12"/>
    <mergeCell ref="K12:L12"/>
  </mergeCells>
  <dataValidations count="1">
    <dataValidation type="list" allowBlank="1" showInputMessage="1" showErrorMessage="1" sqref="K37:L37 F37:H37">
      <formula1>#REF!</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O25"/>
  <sheetViews>
    <sheetView tabSelected="1" workbookViewId="0">
      <selection activeCell="D20" sqref="D20"/>
    </sheetView>
  </sheetViews>
  <sheetFormatPr defaultColWidth="9.140625" defaultRowHeight="14.25" x14ac:dyDescent="0.2"/>
  <cols>
    <col min="1" max="1" width="4" style="63" customWidth="1"/>
    <col min="2" max="2" width="2.42578125" style="63" customWidth="1"/>
    <col min="3" max="3" width="51.5703125" style="63" customWidth="1"/>
    <col min="4" max="7" width="13.28515625" style="63" customWidth="1"/>
    <col min="8" max="8" width="2.5703125" style="63" customWidth="1"/>
    <col min="9" max="9" width="2.42578125" style="63" customWidth="1"/>
    <col min="10" max="10" width="2.85546875" style="63" customWidth="1"/>
    <col min="11" max="14" width="13.28515625" style="63" customWidth="1"/>
    <col min="15" max="15" width="2.28515625" style="63" customWidth="1"/>
    <col min="16" max="16384" width="9.140625" style="63"/>
  </cols>
  <sheetData>
    <row r="8" spans="2:15" ht="15" x14ac:dyDescent="0.2">
      <c r="B8" s="28"/>
      <c r="C8" s="30"/>
      <c r="D8" s="30"/>
      <c r="E8" s="30"/>
      <c r="F8" s="168"/>
      <c r="G8" s="31"/>
      <c r="H8" s="31"/>
    </row>
    <row r="9" spans="2:15" ht="30" customHeight="1" x14ac:dyDescent="0.2">
      <c r="B9" s="30"/>
      <c r="C9" s="523" t="s">
        <v>292</v>
      </c>
      <c r="D9" s="524"/>
      <c r="E9" s="524"/>
      <c r="F9" s="524"/>
      <c r="G9" s="524"/>
      <c r="H9" s="31"/>
    </row>
    <row r="10" spans="2:15" ht="15" x14ac:dyDescent="0.2">
      <c r="B10" s="30"/>
      <c r="C10" s="30"/>
      <c r="D10" s="30"/>
      <c r="E10" s="30"/>
      <c r="F10" s="31"/>
      <c r="G10" s="31"/>
      <c r="H10" s="31"/>
    </row>
    <row r="11" spans="2:15" ht="15" x14ac:dyDescent="0.2">
      <c r="B11" s="35"/>
      <c r="C11" s="35"/>
      <c r="D11" s="35"/>
      <c r="E11" s="35"/>
      <c r="F11" s="86"/>
      <c r="G11" s="86"/>
      <c r="H11" s="86"/>
    </row>
    <row r="12" spans="2:15" ht="23.25" x14ac:dyDescent="0.2">
      <c r="B12" s="257" t="s">
        <v>188</v>
      </c>
      <c r="C12" s="256"/>
      <c r="D12" s="260" t="s">
        <v>138</v>
      </c>
      <c r="E12" s="106"/>
      <c r="F12" s="106"/>
      <c r="G12" s="108"/>
      <c r="H12" s="108"/>
      <c r="I12" s="108"/>
      <c r="K12" s="240" t="s">
        <v>139</v>
      </c>
    </row>
    <row r="13" spans="2:15" ht="15" customHeight="1" x14ac:dyDescent="0.2">
      <c r="B13" s="258" t="s">
        <v>253</v>
      </c>
      <c r="C13" s="256"/>
      <c r="D13" s="535" t="str">
        <f>'Invoer gegevens'!E13</f>
        <v>X</v>
      </c>
      <c r="E13" s="536"/>
      <c r="F13" s="106"/>
      <c r="G13" s="108"/>
      <c r="H13" s="108"/>
      <c r="I13" s="108"/>
      <c r="J13" s="109"/>
      <c r="K13" s="535" t="str">
        <f>'Invoer gegevens'!M13</f>
        <v>Y</v>
      </c>
      <c r="L13" s="536"/>
    </row>
    <row r="14" spans="2:15" ht="15" customHeight="1" x14ac:dyDescent="0.2">
      <c r="B14" s="171"/>
      <c r="D14" s="36"/>
      <c r="E14" s="172"/>
      <c r="F14" s="106"/>
      <c r="G14" s="108"/>
      <c r="H14" s="108"/>
      <c r="I14" s="108"/>
      <c r="J14" s="107"/>
      <c r="K14" s="36"/>
      <c r="L14" s="172"/>
    </row>
    <row r="15" spans="2:15" ht="15" customHeight="1" x14ac:dyDescent="0.2">
      <c r="B15" s="259" t="e">
        <f>+#REF! &amp;" " &amp;#REF!</f>
        <v>#REF!</v>
      </c>
      <c r="M15" s="98"/>
      <c r="N15" s="97"/>
    </row>
    <row r="16" spans="2:15" ht="15" customHeight="1" x14ac:dyDescent="0.2">
      <c r="B16" s="26"/>
      <c r="C16" s="26"/>
      <c r="D16" s="27"/>
      <c r="E16" s="27"/>
      <c r="F16" s="27"/>
      <c r="G16" s="27"/>
      <c r="H16" s="26"/>
      <c r="J16" s="26"/>
      <c r="K16" s="27"/>
      <c r="L16" s="27"/>
      <c r="M16" s="27"/>
      <c r="N16" s="27"/>
      <c r="O16" s="26"/>
    </row>
    <row r="17" spans="2:15" ht="15.75" thickBot="1" x14ac:dyDescent="0.25">
      <c r="B17" s="26"/>
      <c r="C17" s="28" t="str">
        <f>"BRUTO-NETTO TRAJECT "&amp;'Invoer gegevens'!E19&amp;" WERKNEMER (indicatief)"</f>
        <v>BRUTO-NETTO TRAJECT 2023 WERKNEMER (indicatief)</v>
      </c>
      <c r="D17" s="27"/>
      <c r="E17" s="27"/>
      <c r="F17" s="27"/>
      <c r="G17" s="27"/>
      <c r="H17" s="26"/>
      <c r="J17" s="26"/>
      <c r="K17" s="27"/>
      <c r="L17" s="27"/>
      <c r="M17" s="27"/>
      <c r="N17" s="27"/>
      <c r="O17" s="26"/>
    </row>
    <row r="18" spans="2:15" ht="15.75" thickBot="1" x14ac:dyDescent="0.25">
      <c r="B18" s="26"/>
      <c r="C18" s="26"/>
      <c r="D18" s="539" t="s">
        <v>16</v>
      </c>
      <c r="E18" s="540"/>
      <c r="F18" s="537" t="s">
        <v>17</v>
      </c>
      <c r="G18" s="538"/>
      <c r="H18" s="26"/>
      <c r="J18" s="26"/>
      <c r="K18" s="539" t="s">
        <v>133</v>
      </c>
      <c r="L18" s="540"/>
      <c r="M18" s="537" t="s">
        <v>134</v>
      </c>
      <c r="N18" s="538"/>
      <c r="O18" s="26"/>
    </row>
    <row r="19" spans="2:15" ht="15.75" thickBot="1" x14ac:dyDescent="0.25">
      <c r="B19" s="43"/>
      <c r="C19" s="28"/>
      <c r="D19" s="254" t="s">
        <v>124</v>
      </c>
      <c r="E19" s="254" t="s">
        <v>125</v>
      </c>
      <c r="F19" s="254" t="s">
        <v>124</v>
      </c>
      <c r="G19" s="254" t="s">
        <v>125</v>
      </c>
      <c r="H19" s="26"/>
      <c r="J19" s="43"/>
      <c r="K19" s="254" t="s">
        <v>124</v>
      </c>
      <c r="L19" s="254" t="s">
        <v>125</v>
      </c>
      <c r="M19" s="254" t="s">
        <v>124</v>
      </c>
      <c r="N19" s="254" t="s">
        <v>125</v>
      </c>
      <c r="O19" s="26"/>
    </row>
    <row r="20" spans="2:15" ht="15.75" thickBot="1" x14ac:dyDescent="0.25">
      <c r="B20" s="43"/>
      <c r="C20" s="26" t="s">
        <v>251</v>
      </c>
      <c r="D20" s="261">
        <f>'Inkomensgevolgen uitgebreid'!D17</f>
        <v>5493.86</v>
      </c>
      <c r="E20" s="261">
        <f>'Inkomensgevolgen uitgebreid'!O17</f>
        <v>5036.5599999999995</v>
      </c>
      <c r="F20" s="261">
        <f>'Inkomensgevolgen uitgebreid'!Z17</f>
        <v>65926.319999999992</v>
      </c>
      <c r="G20" s="261">
        <f>'Inkomensgevolgen uitgebreid'!AK17</f>
        <v>60438.719999999994</v>
      </c>
      <c r="H20" s="26"/>
      <c r="J20" s="26"/>
      <c r="K20" s="261">
        <f>'Inkomensgevolgen uitgebreid'!D48</f>
        <v>2326.8000000000002</v>
      </c>
      <c r="L20" s="261">
        <f>'Inkomensgevolgen uitgebreid'!O48</f>
        <v>3240.93</v>
      </c>
      <c r="M20" s="261">
        <f>'Inkomensgevolgen uitgebreid'!Z48</f>
        <v>27921.599999999999</v>
      </c>
      <c r="N20" s="261">
        <f>'Inkomensgevolgen uitgebreid'!AK48</f>
        <v>38891.159999999996</v>
      </c>
      <c r="O20" s="26"/>
    </row>
    <row r="21" spans="2:15" ht="15.75" collapsed="1" thickBot="1" x14ac:dyDescent="0.25">
      <c r="B21" s="43"/>
      <c r="C21" s="26" t="s">
        <v>64</v>
      </c>
      <c r="D21" s="261">
        <f>'Inkomensgevolgen uitgebreid'!D24</f>
        <v>353.97009599999996</v>
      </c>
      <c r="E21" s="261">
        <f>'Inkomensgevolgen uitgebreid'!O24</f>
        <v>353.97009599999996</v>
      </c>
      <c r="F21" s="261">
        <f>'Inkomensgevolgen uitgebreid'!Z24</f>
        <v>4247.6411519999992</v>
      </c>
      <c r="G21" s="261">
        <f>'Inkomensgevolgen uitgebreid'!AK24</f>
        <v>4247.6411519999992</v>
      </c>
      <c r="H21" s="26"/>
      <c r="J21" s="43"/>
      <c r="K21" s="261">
        <f>'Inkomensgevolgen uitgebreid'!D55</f>
        <v>140.81185499999998</v>
      </c>
      <c r="L21" s="261">
        <f>'Inkomensgevolgen uitgebreid'!O55</f>
        <v>195.70819799999998</v>
      </c>
      <c r="M21" s="261">
        <f>'Inkomensgevolgen uitgebreid'!Z55</f>
        <v>1689.7422599999998</v>
      </c>
      <c r="N21" s="261">
        <f>'Inkomensgevolgen uitgebreid'!AK55</f>
        <v>2348.498376</v>
      </c>
      <c r="O21" s="26"/>
    </row>
    <row r="22" spans="2:15" ht="15.75" collapsed="1" thickBot="1" x14ac:dyDescent="0.25">
      <c r="B22" s="26"/>
      <c r="C22" s="26" t="s">
        <v>111</v>
      </c>
      <c r="D22" s="261">
        <f>'Inkomensgevolgen uitgebreid'!D35</f>
        <v>1133.7384466122667</v>
      </c>
      <c r="E22" s="261">
        <f>'Inkomensgevolgen uitgebreid'!O35</f>
        <v>966.75535161226651</v>
      </c>
      <c r="F22" s="261">
        <f>'Inkomensgevolgen uitgebreid'!Z35</f>
        <v>13604.861359347198</v>
      </c>
      <c r="G22" s="261">
        <f>'Inkomensgevolgen uitgebreid'!AK35</f>
        <v>11601.064219347198</v>
      </c>
      <c r="H22" s="26"/>
      <c r="J22" s="26"/>
      <c r="K22" s="261">
        <f>'Inkomensgevolgen uitgebreid'!D66</f>
        <v>188.55533227966674</v>
      </c>
      <c r="L22" s="261">
        <f>'Inkomensgevolgen uitgebreid'!O66</f>
        <v>421.71124566696653</v>
      </c>
      <c r="M22" s="261">
        <f>'Inkomensgevolgen uitgebreid'!Z66</f>
        <v>2262.6639873559998</v>
      </c>
      <c r="N22" s="261">
        <f>'Inkomensgevolgen uitgebreid'!AK66</f>
        <v>5060.5349480035993</v>
      </c>
      <c r="O22" s="26"/>
    </row>
    <row r="23" spans="2:15" ht="15.75" thickBot="1" x14ac:dyDescent="0.3">
      <c r="B23" s="26"/>
      <c r="C23" s="28" t="s">
        <v>110</v>
      </c>
      <c r="D23" s="262">
        <f>D20-D21-D22</f>
        <v>4006.151457387733</v>
      </c>
      <c r="E23" s="262">
        <f>E20-E21-E22</f>
        <v>3715.8345523877329</v>
      </c>
      <c r="F23" s="262">
        <f>F20-F21-F22</f>
        <v>48073.8174886528</v>
      </c>
      <c r="G23" s="262">
        <f>G20-G21-G22</f>
        <v>44590.014628652803</v>
      </c>
      <c r="H23" s="28"/>
      <c r="I23" s="101"/>
      <c r="J23" s="28"/>
      <c r="K23" s="262">
        <f>K20-K21-K22</f>
        <v>1997.4328127203335</v>
      </c>
      <c r="L23" s="262">
        <f>L20-L21-L22</f>
        <v>2623.5105563330335</v>
      </c>
      <c r="M23" s="262">
        <f>M20-M21-M22</f>
        <v>23969.193752644002</v>
      </c>
      <c r="N23" s="262">
        <f>N20-N21-N22</f>
        <v>31482.126675996395</v>
      </c>
      <c r="O23" s="28"/>
    </row>
    <row r="24" spans="2:15" ht="15.75" thickBot="1" x14ac:dyDescent="0.3">
      <c r="B24" s="26"/>
      <c r="C24" s="28" t="s">
        <v>252</v>
      </c>
      <c r="D24" s="136"/>
      <c r="E24" s="262">
        <f>E23-D23</f>
        <v>-290.31690500000013</v>
      </c>
      <c r="F24" s="136"/>
      <c r="G24" s="262">
        <f>G23-F23</f>
        <v>-3483.8028599999961</v>
      </c>
      <c r="H24" s="28"/>
      <c r="I24" s="101"/>
      <c r="J24" s="28"/>
      <c r="K24" s="136"/>
      <c r="L24" s="262">
        <f>L23-K23</f>
        <v>626.07774361270003</v>
      </c>
      <c r="M24" s="136"/>
      <c r="N24" s="262">
        <f>N23-M23</f>
        <v>7512.9329233523931</v>
      </c>
      <c r="O24" s="28"/>
    </row>
    <row r="25" spans="2:15" ht="15" x14ac:dyDescent="0.2">
      <c r="B25" s="26"/>
      <c r="C25" s="26"/>
      <c r="D25" s="26"/>
      <c r="E25" s="26"/>
      <c r="F25" s="26"/>
      <c r="G25" s="26"/>
      <c r="H25" s="26"/>
      <c r="J25" s="26"/>
      <c r="K25" s="26"/>
      <c r="L25" s="26"/>
      <c r="M25" s="26"/>
      <c r="N25" s="26"/>
      <c r="O25" s="26"/>
    </row>
  </sheetData>
  <sheetProtection algorithmName="SHA-512" hashValue="IORbJrW2qfOiAOTRRc4b/6oZmLhpDGOyIZjWsabB9D9Uk7euDnkIw1+uXKIj5LnmDWNUARV0XRWMXXvhXCy1tA==" saltValue="TYbGdMmqlgHpv3gFmM2Hyg==" spinCount="100000" sheet="1" sort="0" autoFilter="0"/>
  <mergeCells count="7">
    <mergeCell ref="M18:N18"/>
    <mergeCell ref="C9:G9"/>
    <mergeCell ref="D13:E13"/>
    <mergeCell ref="K13:L13"/>
    <mergeCell ref="D18:E18"/>
    <mergeCell ref="F18:G18"/>
    <mergeCell ref="K18:L18"/>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8"/>
  <dimension ref="A1:CD202"/>
  <sheetViews>
    <sheetView showGridLines="0" topLeftCell="A28" zoomScale="80" zoomScaleNormal="80" workbookViewId="0">
      <pane xSplit="5" topLeftCell="F1" activePane="topRight" state="frozen"/>
      <selection pane="topRight" activeCell="A17" sqref="A17:XFD150"/>
    </sheetView>
  </sheetViews>
  <sheetFormatPr defaultColWidth="9.7109375" defaultRowHeight="15" x14ac:dyDescent="0.2"/>
  <cols>
    <col min="1" max="1" width="2.5703125" style="17" customWidth="1"/>
    <col min="2" max="2" width="1.5703125" style="17" customWidth="1"/>
    <col min="3" max="3" width="49.28515625" style="17" bestFit="1" customWidth="1"/>
    <col min="4" max="4" width="29.5703125" style="17" bestFit="1" customWidth="1"/>
    <col min="5" max="5" width="2.140625" style="17" customWidth="1"/>
    <col min="6" max="6" width="5.5703125" style="36" bestFit="1" customWidth="1"/>
    <col min="7" max="7" width="6" style="17" bestFit="1" customWidth="1"/>
    <col min="8" max="8" width="21" style="36" bestFit="1" customWidth="1"/>
    <col min="9" max="11" width="13.7109375" style="36" customWidth="1"/>
    <col min="12" max="13" width="13.7109375" style="17" customWidth="1"/>
    <col min="14" max="18" width="13.7109375" style="84" customWidth="1"/>
    <col min="19" max="19" width="3.140625" style="84" customWidth="1"/>
    <col min="20" max="30" width="13.7109375" style="84" customWidth="1"/>
    <col min="31" max="31" width="2.85546875" style="84" customWidth="1"/>
    <col min="32" max="42" width="13.7109375" style="84" customWidth="1"/>
    <col min="43" max="43" width="3.140625" style="84" customWidth="1"/>
    <col min="44" max="49" width="13.7109375" style="84" customWidth="1"/>
    <col min="50" max="54" width="13.7109375" style="17" customWidth="1"/>
    <col min="55" max="55" width="4.140625" style="17" customWidth="1"/>
    <col min="56" max="16384" width="9.7109375" style="17"/>
  </cols>
  <sheetData>
    <row r="1" spans="1:54" ht="12.95" customHeight="1" x14ac:dyDescent="0.2"/>
    <row r="2" spans="1:54" s="106" customFormat="1" ht="23.25" x14ac:dyDescent="0.2">
      <c r="B2" s="248" t="s">
        <v>181</v>
      </c>
      <c r="C2" s="300"/>
      <c r="I2" s="108"/>
      <c r="J2" s="108"/>
      <c r="K2" s="108"/>
      <c r="M2" s="120"/>
      <c r="O2" s="110"/>
      <c r="Q2" s="111"/>
      <c r="R2" s="111"/>
      <c r="S2" s="111"/>
      <c r="T2" s="110"/>
      <c r="U2" s="110"/>
      <c r="V2" s="110"/>
      <c r="W2" s="110"/>
      <c r="X2" s="110"/>
      <c r="Y2" s="110"/>
      <c r="Z2" s="110"/>
      <c r="AA2" s="110"/>
      <c r="AB2" s="110"/>
      <c r="AC2" s="110"/>
      <c r="AD2" s="110"/>
      <c r="AE2" s="110"/>
      <c r="AF2" s="120" t="s">
        <v>187</v>
      </c>
      <c r="AG2" s="120"/>
      <c r="AH2" s="120"/>
      <c r="AI2" s="120"/>
      <c r="AJ2" s="120"/>
      <c r="AK2" s="120"/>
      <c r="AL2" s="120"/>
      <c r="AM2" s="120"/>
      <c r="AN2" s="120"/>
      <c r="AO2" s="120"/>
      <c r="AP2" s="120"/>
      <c r="AQ2" s="120"/>
      <c r="AR2" s="240" t="s">
        <v>169</v>
      </c>
    </row>
    <row r="3" spans="1:54" s="112" customFormat="1" ht="17.25" customHeight="1" x14ac:dyDescent="0.2">
      <c r="B3" s="249" t="e">
        <f>+#REF! &amp;" " &amp;#REF!</f>
        <v>#REF!</v>
      </c>
      <c r="C3" s="303"/>
      <c r="F3" s="113"/>
      <c r="H3" s="114"/>
      <c r="I3" s="114"/>
      <c r="J3" s="114"/>
      <c r="K3" s="114"/>
      <c r="N3" s="115"/>
      <c r="O3" s="116"/>
      <c r="P3" s="117"/>
      <c r="Q3" s="117"/>
      <c r="R3" s="117"/>
      <c r="S3" s="117"/>
      <c r="T3" s="116"/>
      <c r="U3" s="116"/>
      <c r="V3" s="116"/>
      <c r="W3" s="116"/>
      <c r="X3" s="116"/>
      <c r="Y3" s="116"/>
      <c r="Z3" s="116"/>
      <c r="AA3" s="116"/>
      <c r="AB3" s="116"/>
      <c r="AC3" s="116"/>
      <c r="AD3" s="116"/>
      <c r="AE3" s="116"/>
    </row>
    <row r="4" spans="1:54" ht="12.95" customHeight="1" x14ac:dyDescent="0.2">
      <c r="H4" s="87"/>
      <c r="I4" s="87"/>
      <c r="J4" s="87"/>
      <c r="K4" s="87"/>
      <c r="N4" s="12"/>
      <c r="O4" s="12"/>
      <c r="P4" s="14"/>
      <c r="Q4" s="14"/>
      <c r="R4" s="14"/>
      <c r="S4" s="14"/>
      <c r="T4" s="12"/>
      <c r="U4" s="12"/>
      <c r="V4" s="12"/>
      <c r="W4" s="12"/>
      <c r="X4" s="12"/>
      <c r="Y4" s="12"/>
      <c r="Z4" s="12"/>
      <c r="AA4" s="12"/>
      <c r="AB4" s="12"/>
      <c r="AC4" s="12"/>
      <c r="AD4" s="12"/>
      <c r="AE4" s="12"/>
    </row>
    <row r="5" spans="1:54" s="16" customFormat="1" ht="12.95" customHeight="1" x14ac:dyDescent="0.2">
      <c r="B5" s="11"/>
      <c r="C5" s="26"/>
      <c r="D5" s="26"/>
      <c r="E5" s="17"/>
      <c r="F5" s="45"/>
      <c r="G5" s="46"/>
      <c r="H5" s="45"/>
      <c r="I5" s="45"/>
      <c r="J5" s="45"/>
      <c r="K5" s="45"/>
      <c r="L5" s="26"/>
      <c r="M5" s="17"/>
      <c r="AU5" s="33"/>
      <c r="AV5" s="33"/>
      <c r="AW5" s="33"/>
    </row>
    <row r="6" spans="1:54" s="16" customFormat="1" ht="23.25" x14ac:dyDescent="0.2">
      <c r="B6" s="11"/>
      <c r="C6" s="28" t="s">
        <v>56</v>
      </c>
      <c r="D6" s="28"/>
      <c r="E6" s="88"/>
      <c r="F6" s="45"/>
      <c r="G6" s="46"/>
      <c r="H6" s="311" t="s">
        <v>138</v>
      </c>
      <c r="I6" s="308"/>
      <c r="J6" s="308"/>
      <c r="K6" s="308"/>
      <c r="L6" s="307"/>
      <c r="M6" s="64"/>
      <c r="N6" s="305"/>
      <c r="O6" s="305"/>
      <c r="P6" s="305"/>
      <c r="Q6" s="305"/>
      <c r="R6" s="305"/>
      <c r="S6" s="305"/>
      <c r="T6" s="305"/>
      <c r="U6" s="305"/>
      <c r="V6" s="305"/>
      <c r="W6" s="305"/>
      <c r="X6" s="305"/>
      <c r="Y6" s="305"/>
      <c r="Z6" s="305"/>
      <c r="AA6" s="305"/>
      <c r="AB6" s="305"/>
      <c r="AC6" s="305"/>
      <c r="AD6" s="305"/>
      <c r="AE6" s="305"/>
      <c r="AF6" s="305"/>
      <c r="AG6" s="305"/>
      <c r="AH6" s="305"/>
      <c r="AI6" s="305"/>
      <c r="AJ6" s="305"/>
      <c r="AK6" s="305"/>
      <c r="AL6" s="305"/>
      <c r="AM6" s="305"/>
      <c r="AN6" s="305"/>
      <c r="AO6" s="305"/>
      <c r="AP6" s="305"/>
      <c r="AQ6" s="305"/>
      <c r="AR6" s="305"/>
      <c r="AS6" s="305"/>
      <c r="AT6" s="305"/>
      <c r="AU6" s="309"/>
      <c r="AV6" s="309"/>
      <c r="AW6" s="309"/>
      <c r="AX6" s="305"/>
      <c r="AY6" s="305"/>
      <c r="AZ6" s="305"/>
      <c r="BA6" s="305"/>
      <c r="BB6" s="305"/>
    </row>
    <row r="7" spans="1:54" s="16" customFormat="1" ht="12.95" customHeight="1" thickBot="1" x14ac:dyDescent="0.25">
      <c r="B7" s="11"/>
      <c r="C7" s="48"/>
      <c r="D7" s="48"/>
      <c r="E7" s="89"/>
      <c r="F7" s="45"/>
      <c r="G7" s="49"/>
      <c r="H7" s="312"/>
      <c r="I7" s="312"/>
      <c r="J7" s="312"/>
      <c r="K7" s="312"/>
      <c r="L7" s="307"/>
      <c r="M7" s="64"/>
      <c r="N7" s="305"/>
      <c r="O7" s="305"/>
      <c r="P7" s="305"/>
      <c r="Q7" s="305"/>
      <c r="R7" s="305"/>
      <c r="S7" s="305"/>
      <c r="T7" s="305"/>
      <c r="U7" s="305"/>
      <c r="V7" s="305"/>
      <c r="W7" s="305"/>
      <c r="X7" s="305"/>
      <c r="Y7" s="305"/>
      <c r="Z7" s="305"/>
      <c r="AA7" s="305"/>
      <c r="AB7" s="305"/>
      <c r="AC7" s="305"/>
      <c r="AD7" s="305"/>
      <c r="AE7" s="305"/>
      <c r="AF7" s="305"/>
      <c r="AG7" s="305"/>
      <c r="AH7" s="305"/>
      <c r="AI7" s="305"/>
      <c r="AJ7" s="305"/>
      <c r="AK7" s="305"/>
      <c r="AL7" s="305"/>
      <c r="AM7" s="305"/>
      <c r="AN7" s="305"/>
      <c r="AO7" s="305"/>
      <c r="AP7" s="305"/>
      <c r="AQ7" s="305"/>
      <c r="AR7" s="305"/>
      <c r="AS7" s="305"/>
      <c r="AT7" s="305"/>
      <c r="AU7" s="309"/>
      <c r="AV7" s="309"/>
      <c r="AW7" s="309"/>
      <c r="AX7" s="305"/>
      <c r="AY7" s="305"/>
      <c r="AZ7" s="305"/>
      <c r="BA7" s="305"/>
      <c r="BB7" s="305"/>
    </row>
    <row r="8" spans="1:54" s="16" customFormat="1" ht="12.95" customHeight="1" thickTop="1" thickBot="1" x14ac:dyDescent="0.25">
      <c r="B8" s="11"/>
      <c r="C8" s="26" t="s">
        <v>18</v>
      </c>
      <c r="D8" s="541" t="str">
        <f>'Invoer gegevens'!E13</f>
        <v>X</v>
      </c>
      <c r="E8" s="542"/>
      <c r="F8" s="45"/>
      <c r="G8" s="46"/>
      <c r="J8" s="308"/>
      <c r="K8" s="308"/>
      <c r="L8" s="307"/>
      <c r="M8" s="64"/>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c r="AM8" s="305"/>
      <c r="AN8" s="305"/>
      <c r="AO8" s="305"/>
      <c r="AP8" s="305"/>
      <c r="AQ8" s="305"/>
      <c r="AR8" s="305"/>
      <c r="AS8" s="305"/>
      <c r="AT8" s="305"/>
      <c r="AU8" s="309"/>
      <c r="AV8" s="309"/>
      <c r="AW8" s="309"/>
      <c r="AX8" s="305"/>
      <c r="AY8" s="305"/>
      <c r="AZ8" s="305"/>
      <c r="BA8" s="305"/>
      <c r="BB8" s="305"/>
    </row>
    <row r="9" spans="1:54" s="16" customFormat="1" ht="12.95" customHeight="1" thickTop="1" thickBot="1" x14ac:dyDescent="0.25">
      <c r="A9" s="32"/>
      <c r="B9" s="15"/>
      <c r="C9" s="26" t="s">
        <v>39</v>
      </c>
      <c r="D9" s="313">
        <f>'Invoer gegevens'!E14</f>
        <v>21186</v>
      </c>
      <c r="E9" s="308"/>
      <c r="F9" s="45"/>
      <c r="G9" s="46"/>
      <c r="J9" s="308"/>
      <c r="K9" s="308"/>
      <c r="L9" s="307"/>
      <c r="M9" s="64"/>
      <c r="N9" s="305"/>
      <c r="O9" s="305"/>
      <c r="P9" s="305"/>
      <c r="Q9" s="305"/>
      <c r="R9" s="305"/>
      <c r="S9" s="305"/>
      <c r="T9" s="305"/>
      <c r="U9" s="305"/>
      <c r="V9" s="305"/>
      <c r="W9" s="305"/>
      <c r="X9" s="305"/>
      <c r="Y9" s="305"/>
      <c r="Z9" s="305"/>
      <c r="AA9" s="305"/>
      <c r="AB9" s="305"/>
      <c r="AC9" s="305"/>
      <c r="AD9" s="305"/>
      <c r="AE9" s="305"/>
      <c r="AF9" s="305"/>
      <c r="AG9" s="305"/>
      <c r="AH9" s="305"/>
      <c r="AI9" s="305"/>
      <c r="AJ9" s="305"/>
      <c r="AK9" s="305"/>
      <c r="AL9" s="305"/>
      <c r="AM9" s="305"/>
      <c r="AN9" s="305"/>
      <c r="AO9" s="305"/>
      <c r="AP9" s="305"/>
      <c r="AQ9" s="305"/>
      <c r="AR9" s="305"/>
      <c r="AS9" s="305"/>
      <c r="AT9" s="305"/>
      <c r="AU9" s="309"/>
      <c r="AV9" s="309"/>
      <c r="AW9" s="309"/>
      <c r="AX9" s="305"/>
      <c r="AY9" s="305"/>
      <c r="AZ9" s="305"/>
      <c r="BA9" s="305"/>
      <c r="BB9" s="305"/>
    </row>
    <row r="10" spans="1:54" s="16" customFormat="1" ht="12.95" customHeight="1" thickTop="1" thickBot="1" x14ac:dyDescent="0.25">
      <c r="B10" s="15"/>
      <c r="C10" s="26"/>
      <c r="D10" s="308"/>
      <c r="E10" s="308"/>
      <c r="F10" s="45"/>
      <c r="G10" s="46"/>
      <c r="J10" s="308"/>
      <c r="K10" s="308"/>
      <c r="L10" s="307"/>
      <c r="M10" s="64"/>
      <c r="N10" s="305"/>
      <c r="O10" s="305"/>
      <c r="P10" s="305"/>
      <c r="Q10" s="305"/>
      <c r="R10" s="305"/>
      <c r="S10" s="305"/>
      <c r="T10" s="305"/>
      <c r="U10" s="305"/>
      <c r="V10" s="305"/>
      <c r="W10" s="305"/>
      <c r="X10" s="305"/>
      <c r="Y10" s="305"/>
      <c r="Z10" s="305"/>
      <c r="AA10" s="305"/>
      <c r="AB10" s="305"/>
      <c r="AC10" s="305"/>
      <c r="AD10" s="305"/>
      <c r="AE10" s="305"/>
      <c r="AF10" s="305"/>
      <c r="AG10" s="305"/>
      <c r="AH10" s="305"/>
      <c r="AI10" s="305"/>
      <c r="AJ10" s="305"/>
      <c r="AK10" s="305"/>
      <c r="AL10" s="305"/>
      <c r="AM10" s="305"/>
      <c r="AN10" s="305"/>
      <c r="AO10" s="305"/>
      <c r="AP10" s="305"/>
      <c r="AQ10" s="305"/>
      <c r="AR10" s="305"/>
      <c r="AS10" s="305"/>
      <c r="AT10" s="305"/>
      <c r="AU10" s="309"/>
      <c r="AV10" s="309"/>
      <c r="AW10" s="309"/>
      <c r="AX10" s="305"/>
      <c r="AY10" s="305"/>
      <c r="AZ10" s="305"/>
      <c r="BA10" s="305"/>
      <c r="BB10" s="305"/>
    </row>
    <row r="11" spans="1:54" s="16" customFormat="1" ht="12.95" customHeight="1" thickTop="1" thickBot="1" x14ac:dyDescent="0.25">
      <c r="B11" s="15"/>
      <c r="C11" s="26" t="s">
        <v>98</v>
      </c>
      <c r="D11" s="466" t="s">
        <v>94</v>
      </c>
      <c r="E11" s="308"/>
      <c r="F11" s="45"/>
      <c r="G11" s="46"/>
      <c r="J11" s="308"/>
      <c r="K11" s="308"/>
      <c r="L11" s="307"/>
      <c r="M11" s="64"/>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305"/>
      <c r="AK11" s="305"/>
      <c r="AL11" s="305"/>
      <c r="AM11" s="305"/>
      <c r="AN11" s="305"/>
      <c r="AO11" s="305"/>
      <c r="AP11" s="305"/>
      <c r="AQ11" s="305"/>
      <c r="AR11" s="305"/>
      <c r="AS11" s="305"/>
      <c r="AT11" s="305"/>
      <c r="AU11" s="309"/>
      <c r="AV11" s="309"/>
      <c r="AW11" s="309"/>
      <c r="AX11" s="305"/>
      <c r="AY11" s="305"/>
      <c r="AZ11" s="305"/>
      <c r="BA11" s="305"/>
      <c r="BB11" s="305"/>
    </row>
    <row r="12" spans="1:54" s="16" customFormat="1" ht="12.95" customHeight="1" thickTop="1" thickBot="1" x14ac:dyDescent="0.25">
      <c r="B12" s="15"/>
      <c r="C12" s="26" t="s">
        <v>96</v>
      </c>
      <c r="D12" s="315">
        <f>'Invoer gegevens'!F26</f>
        <v>0.8</v>
      </c>
      <c r="E12" s="308"/>
      <c r="F12" s="45"/>
      <c r="G12" s="46"/>
      <c r="J12" s="308"/>
      <c r="K12" s="308"/>
      <c r="L12" s="307"/>
      <c r="M12" s="64"/>
      <c r="N12" s="305"/>
      <c r="O12" s="305"/>
      <c r="P12" s="305"/>
      <c r="Q12" s="305"/>
      <c r="R12" s="305"/>
      <c r="S12" s="305"/>
      <c r="T12" s="305"/>
      <c r="U12" s="305"/>
      <c r="V12" s="305"/>
      <c r="W12" s="305"/>
      <c r="X12" s="305"/>
      <c r="Y12" s="305"/>
      <c r="Z12" s="305"/>
      <c r="AA12" s="305"/>
      <c r="AB12" s="305"/>
      <c r="AC12" s="305"/>
      <c r="AD12" s="305"/>
      <c r="AE12" s="305"/>
      <c r="AF12" s="305"/>
      <c r="AG12" s="305"/>
      <c r="AH12" s="305"/>
      <c r="AI12" s="305"/>
      <c r="AJ12" s="305"/>
      <c r="AK12" s="305"/>
      <c r="AL12" s="305"/>
      <c r="AM12" s="305"/>
      <c r="AN12" s="305"/>
      <c r="AO12" s="305"/>
      <c r="AP12" s="305"/>
      <c r="AQ12" s="305"/>
      <c r="AR12" s="305"/>
      <c r="AS12" s="305"/>
      <c r="AT12" s="305"/>
      <c r="AU12" s="309"/>
      <c r="AV12" s="309"/>
      <c r="AW12" s="309"/>
      <c r="AX12" s="305"/>
      <c r="AY12" s="305"/>
      <c r="AZ12" s="305"/>
      <c r="BA12" s="305"/>
      <c r="BB12" s="305"/>
    </row>
    <row r="13" spans="1:54" s="16" customFormat="1" ht="12.95" customHeight="1" thickTop="1" thickBot="1" x14ac:dyDescent="0.25">
      <c r="B13" s="15"/>
      <c r="C13" s="26" t="s">
        <v>95</v>
      </c>
      <c r="D13" s="316">
        <f>'Invoer gegevens'!F28</f>
        <v>0.9</v>
      </c>
      <c r="E13" s="308"/>
      <c r="F13" s="45"/>
      <c r="G13" s="46"/>
      <c r="J13" s="308"/>
      <c r="K13" s="308"/>
      <c r="L13" s="307"/>
      <c r="M13" s="64"/>
      <c r="N13" s="305"/>
      <c r="O13" s="305"/>
      <c r="P13" s="305"/>
      <c r="Q13" s="305"/>
      <c r="R13" s="305"/>
      <c r="S13" s="305"/>
      <c r="T13" s="305"/>
      <c r="U13" s="305"/>
      <c r="V13" s="305"/>
      <c r="W13" s="305"/>
      <c r="X13" s="305"/>
      <c r="Y13" s="305"/>
      <c r="Z13" s="305"/>
      <c r="AA13" s="305"/>
      <c r="AB13" s="305"/>
      <c r="AC13" s="305"/>
      <c r="AD13" s="305"/>
      <c r="AE13" s="305"/>
      <c r="AF13" s="305"/>
      <c r="AG13" s="305"/>
      <c r="AH13" s="305"/>
      <c r="AI13" s="305"/>
      <c r="AJ13" s="305"/>
      <c r="AK13" s="305"/>
      <c r="AL13" s="305"/>
      <c r="AM13" s="305"/>
      <c r="AN13" s="305"/>
      <c r="AO13" s="305"/>
      <c r="AP13" s="305"/>
      <c r="AQ13" s="305"/>
      <c r="AR13" s="305"/>
      <c r="AS13" s="305"/>
      <c r="AT13" s="305"/>
      <c r="AU13" s="309"/>
      <c r="AV13" s="309"/>
      <c r="AW13" s="309"/>
      <c r="AX13" s="305"/>
      <c r="AY13" s="305"/>
      <c r="AZ13" s="305"/>
      <c r="BA13" s="305"/>
      <c r="BB13" s="305"/>
    </row>
    <row r="14" spans="1:54" s="16" customFormat="1" ht="12.95" customHeight="1" thickTop="1" thickBot="1" x14ac:dyDescent="0.25">
      <c r="B14" s="15"/>
      <c r="C14" s="26" t="s">
        <v>97</v>
      </c>
      <c r="D14" s="316">
        <v>1</v>
      </c>
      <c r="E14" s="308"/>
      <c r="F14" s="45"/>
      <c r="G14" s="46"/>
      <c r="J14" s="308"/>
      <c r="K14" s="308"/>
      <c r="L14" s="307"/>
      <c r="M14" s="64"/>
      <c r="N14" s="305"/>
      <c r="O14" s="305"/>
      <c r="P14" s="305"/>
      <c r="Q14" s="305"/>
      <c r="R14" s="305"/>
      <c r="S14" s="305"/>
      <c r="T14" s="305"/>
      <c r="U14" s="305"/>
      <c r="V14" s="305"/>
      <c r="W14" s="305"/>
      <c r="X14" s="305"/>
      <c r="Y14" s="305"/>
      <c r="Z14" s="305"/>
      <c r="AA14" s="305"/>
      <c r="AB14" s="305"/>
      <c r="AC14" s="305"/>
      <c r="AD14" s="305"/>
      <c r="AE14" s="305"/>
      <c r="AF14" s="305"/>
      <c r="AG14" s="305"/>
      <c r="AH14" s="305"/>
      <c r="AI14" s="305"/>
      <c r="AJ14" s="305"/>
      <c r="AK14" s="305"/>
      <c r="AL14" s="305"/>
      <c r="AM14" s="305"/>
      <c r="AN14" s="305"/>
      <c r="AO14" s="305"/>
      <c r="AP14" s="305"/>
      <c r="AQ14" s="305"/>
      <c r="AR14" s="305"/>
      <c r="AS14" s="305"/>
      <c r="AT14" s="305"/>
      <c r="AU14" s="309"/>
      <c r="AV14" s="309"/>
      <c r="AW14" s="309"/>
      <c r="AX14" s="305"/>
      <c r="AY14" s="305"/>
      <c r="AZ14" s="305"/>
      <c r="BA14" s="305"/>
      <c r="BB14" s="305"/>
    </row>
    <row r="15" spans="1:54" s="16" customFormat="1" ht="12.95" customHeight="1" thickTop="1" x14ac:dyDescent="0.2">
      <c r="B15" s="15"/>
      <c r="C15" s="26"/>
      <c r="D15" s="26"/>
      <c r="E15" s="17"/>
      <c r="F15" s="45"/>
      <c r="G15" s="46"/>
      <c r="H15" s="308"/>
      <c r="I15" s="308"/>
      <c r="J15" s="308"/>
      <c r="K15" s="308"/>
      <c r="L15" s="307"/>
      <c r="M15" s="64"/>
      <c r="N15" s="305"/>
      <c r="O15" s="305"/>
      <c r="P15" s="305"/>
      <c r="Q15" s="305"/>
      <c r="R15" s="305"/>
      <c r="S15" s="305"/>
      <c r="T15" s="305"/>
      <c r="U15" s="305"/>
      <c r="V15" s="305"/>
      <c r="W15" s="305"/>
      <c r="X15" s="305"/>
      <c r="Y15" s="305"/>
      <c r="Z15" s="305"/>
      <c r="AA15" s="305"/>
      <c r="AB15" s="305"/>
      <c r="AC15" s="305"/>
      <c r="AD15" s="305"/>
      <c r="AE15" s="305"/>
      <c r="AF15" s="305"/>
      <c r="AG15" s="305"/>
      <c r="AH15" s="305"/>
      <c r="AI15" s="305"/>
      <c r="AJ15" s="305"/>
      <c r="AK15" s="305"/>
      <c r="AL15" s="305"/>
      <c r="AM15" s="305"/>
      <c r="AN15" s="305"/>
      <c r="AO15" s="305"/>
      <c r="AP15" s="305"/>
      <c r="AQ15" s="305"/>
      <c r="AR15" s="305"/>
      <c r="AS15" s="305"/>
      <c r="AT15" s="305"/>
      <c r="AU15" s="309"/>
      <c r="AV15" s="309"/>
      <c r="AW15" s="309"/>
      <c r="AX15" s="305"/>
      <c r="AY15" s="305"/>
      <c r="AZ15" s="305"/>
      <c r="BA15" s="305"/>
      <c r="BB15" s="305"/>
    </row>
    <row r="16" spans="1:54" s="16" customFormat="1" ht="12.95" customHeight="1" x14ac:dyDescent="0.2">
      <c r="B16" s="17"/>
      <c r="C16" s="17"/>
      <c r="D16" s="17"/>
      <c r="E16" s="17"/>
      <c r="F16" s="36"/>
      <c r="G16" s="17"/>
      <c r="H16" s="298"/>
      <c r="I16" s="298"/>
      <c r="J16" s="298"/>
      <c r="K16" s="298"/>
      <c r="L16" s="64"/>
      <c r="M16" s="64"/>
      <c r="N16" s="305"/>
      <c r="O16" s="305"/>
      <c r="P16" s="305"/>
      <c r="Q16" s="305"/>
      <c r="R16" s="305"/>
      <c r="S16" s="305"/>
      <c r="T16" s="305"/>
      <c r="U16" s="305"/>
      <c r="V16" s="305"/>
      <c r="W16" s="305"/>
      <c r="X16" s="305"/>
      <c r="Y16" s="305"/>
      <c r="Z16" s="305"/>
      <c r="AA16" s="305"/>
      <c r="AB16" s="305"/>
      <c r="AC16" s="305"/>
      <c r="AD16" s="305"/>
      <c r="AE16" s="305"/>
      <c r="AF16" s="305"/>
      <c r="AG16" s="305"/>
      <c r="AH16" s="305"/>
      <c r="AI16" s="305"/>
      <c r="AJ16" s="305"/>
      <c r="AK16" s="305"/>
      <c r="AL16" s="305"/>
      <c r="AM16" s="305"/>
      <c r="AN16" s="305"/>
      <c r="AO16" s="305"/>
      <c r="AP16" s="305"/>
      <c r="AQ16" s="305"/>
      <c r="AR16" s="305"/>
      <c r="AS16" s="305"/>
      <c r="AT16" s="305"/>
      <c r="AU16" s="309"/>
      <c r="AV16" s="309"/>
      <c r="AW16" s="309"/>
      <c r="AX16" s="305"/>
      <c r="AY16" s="305"/>
      <c r="AZ16" s="305"/>
      <c r="BA16" s="305"/>
      <c r="BB16" s="305"/>
    </row>
    <row r="17" spans="2:60" s="16" customFormat="1" ht="12.95" customHeight="1" thickBot="1" x14ac:dyDescent="0.25">
      <c r="B17" s="11"/>
      <c r="C17" s="28"/>
      <c r="D17" s="28"/>
      <c r="E17" s="88"/>
      <c r="F17" s="45"/>
      <c r="G17" s="46"/>
      <c r="H17" s="308"/>
      <c r="I17" s="308"/>
      <c r="J17" s="308"/>
      <c r="K17" s="308"/>
      <c r="L17" s="308"/>
      <c r="M17" s="308"/>
      <c r="N17" s="308"/>
      <c r="O17" s="308"/>
      <c r="P17" s="308"/>
      <c r="Q17" s="308"/>
      <c r="R17" s="308"/>
      <c r="S17" s="308"/>
      <c r="T17" s="308"/>
      <c r="U17" s="308"/>
      <c r="V17" s="308"/>
      <c r="W17" s="308"/>
      <c r="X17" s="308"/>
      <c r="Y17" s="308"/>
      <c r="Z17" s="308"/>
      <c r="AA17" s="308"/>
      <c r="AB17" s="308"/>
      <c r="AC17" s="308"/>
      <c r="AD17" s="308"/>
      <c r="AE17" s="308"/>
      <c r="AF17" s="308"/>
      <c r="AG17" s="308"/>
      <c r="AH17" s="308"/>
      <c r="AI17" s="308"/>
      <c r="AJ17" s="308"/>
      <c r="AK17" s="308"/>
      <c r="AL17" s="308"/>
      <c r="AM17" s="308"/>
      <c r="AN17" s="308"/>
      <c r="AO17" s="308"/>
      <c r="AP17" s="308"/>
      <c r="AQ17" s="308"/>
      <c r="AR17" s="308"/>
      <c r="AS17" s="307"/>
      <c r="AT17" s="307"/>
      <c r="AU17" s="306"/>
      <c r="AV17" s="306"/>
      <c r="AW17" s="306"/>
      <c r="AX17" s="306"/>
      <c r="AY17" s="306"/>
      <c r="AZ17" s="306"/>
      <c r="BA17" s="306"/>
      <c r="BB17" s="306"/>
      <c r="BC17" s="11"/>
      <c r="BF17" s="33"/>
      <c r="BG17" s="33"/>
      <c r="BH17" s="33"/>
    </row>
    <row r="18" spans="2:60" s="16" customFormat="1" ht="12.95" customHeight="1" thickTop="1" thickBot="1" x14ac:dyDescent="0.25">
      <c r="B18" s="11"/>
      <c r="C18" s="28"/>
      <c r="D18" s="28"/>
      <c r="E18" s="88"/>
      <c r="F18" s="52"/>
      <c r="G18" s="46"/>
      <c r="H18" s="317" t="s">
        <v>133</v>
      </c>
      <c r="I18" s="317"/>
      <c r="J18" s="317"/>
      <c r="K18" s="317"/>
      <c r="L18" s="317"/>
      <c r="M18" s="317"/>
      <c r="N18" s="317"/>
      <c r="O18" s="317"/>
      <c r="P18" s="317"/>
      <c r="Q18" s="317"/>
      <c r="R18" s="317"/>
      <c r="S18" s="308"/>
      <c r="T18" s="317"/>
      <c r="U18" s="317"/>
      <c r="V18" s="317"/>
      <c r="W18" s="317"/>
      <c r="X18" s="317"/>
      <c r="Y18" s="317"/>
      <c r="Z18" s="317"/>
      <c r="AA18" s="317"/>
      <c r="AB18" s="317"/>
      <c r="AC18" s="317"/>
      <c r="AD18" s="317"/>
      <c r="AE18" s="308"/>
      <c r="AF18" s="317" t="s">
        <v>134</v>
      </c>
      <c r="AG18" s="317"/>
      <c r="AH18" s="317"/>
      <c r="AI18" s="317"/>
      <c r="AJ18" s="317"/>
      <c r="AK18" s="317"/>
      <c r="AL18" s="317"/>
      <c r="AM18" s="317"/>
      <c r="AN18" s="317"/>
      <c r="AO18" s="317"/>
      <c r="AP18" s="317"/>
      <c r="AQ18" s="308"/>
      <c r="AR18" s="317"/>
      <c r="AS18" s="317"/>
      <c r="AT18" s="317"/>
      <c r="AU18" s="317"/>
      <c r="AV18" s="317"/>
      <c r="AW18" s="317"/>
      <c r="AX18" s="317"/>
      <c r="AY18" s="317"/>
      <c r="AZ18" s="317"/>
      <c r="BA18" s="317"/>
      <c r="BB18" s="317"/>
      <c r="BC18" s="11"/>
      <c r="BF18" s="33"/>
      <c r="BG18" s="33"/>
      <c r="BH18" s="33"/>
    </row>
    <row r="19" spans="2:60" s="16" customFormat="1" ht="15" customHeight="1" thickTop="1" thickBot="1" x14ac:dyDescent="0.25">
      <c r="B19" s="11"/>
      <c r="C19" s="43" t="s">
        <v>62</v>
      </c>
      <c r="D19" s="43"/>
      <c r="E19" s="89"/>
      <c r="F19" s="45"/>
      <c r="G19" s="46"/>
      <c r="H19" s="318" t="s">
        <v>124</v>
      </c>
      <c r="I19" s="318"/>
      <c r="J19" s="318"/>
      <c r="K19" s="318"/>
      <c r="L19" s="318"/>
      <c r="M19" s="318"/>
      <c r="N19" s="318"/>
      <c r="O19" s="318"/>
      <c r="P19" s="318"/>
      <c r="Q19" s="318"/>
      <c r="R19" s="318"/>
      <c r="S19" s="308"/>
      <c r="T19" s="318" t="s">
        <v>125</v>
      </c>
      <c r="U19" s="318"/>
      <c r="V19" s="318"/>
      <c r="W19" s="318"/>
      <c r="X19" s="318"/>
      <c r="Y19" s="318"/>
      <c r="Z19" s="318"/>
      <c r="AA19" s="318"/>
      <c r="AB19" s="318"/>
      <c r="AC19" s="318"/>
      <c r="AD19" s="318"/>
      <c r="AE19" s="308"/>
      <c r="AF19" s="318" t="s">
        <v>124</v>
      </c>
      <c r="AG19" s="318"/>
      <c r="AH19" s="318"/>
      <c r="AI19" s="318"/>
      <c r="AJ19" s="318"/>
      <c r="AK19" s="318"/>
      <c r="AL19" s="318"/>
      <c r="AM19" s="318"/>
      <c r="AN19" s="318"/>
      <c r="AO19" s="318"/>
      <c r="AP19" s="318"/>
      <c r="AQ19" s="308"/>
      <c r="AR19" s="318" t="s">
        <v>125</v>
      </c>
      <c r="AS19" s="318"/>
      <c r="AT19" s="318"/>
      <c r="AU19" s="318"/>
      <c r="AV19" s="318"/>
      <c r="AW19" s="318"/>
      <c r="AX19" s="318"/>
      <c r="AY19" s="318"/>
      <c r="AZ19" s="318"/>
      <c r="BA19" s="318"/>
      <c r="BB19" s="318"/>
      <c r="BC19" s="11"/>
      <c r="BF19" s="33"/>
      <c r="BG19" s="33"/>
      <c r="BH19" s="33"/>
    </row>
    <row r="20" spans="2:60" s="16" customFormat="1" ht="15" customHeight="1" thickTop="1" thickBot="1" x14ac:dyDescent="0.25">
      <c r="B20" s="11"/>
      <c r="C20" s="43"/>
      <c r="D20" s="43"/>
      <c r="E20" s="89"/>
      <c r="F20" s="45"/>
      <c r="G20" s="46"/>
      <c r="H20" s="318">
        <f>'Invoer gegevens'!$E$19</f>
        <v>2023</v>
      </c>
      <c r="I20" s="318">
        <f>IF(H20&lt;&gt;"[leeg]",IF(H20+1&lt;='Invoer gegevens'!$E$20,H20+1,"[leeg]"),"[leeg]")</f>
        <v>2024</v>
      </c>
      <c r="J20" s="318">
        <f>IF(I20&lt;&gt;"[leeg]",IF(I20+1&lt;='Invoer gegevens'!$E$20,I20+1,"[leeg]"),"[leeg]")</f>
        <v>2025</v>
      </c>
      <c r="K20" s="318" t="str">
        <f>IF(J20&lt;&gt;"[leeg]",IF(J20+1&lt;='Invoer gegevens'!$E$20,J20+1,"[leeg]"),"[leeg]")</f>
        <v>[leeg]</v>
      </c>
      <c r="L20" s="318" t="str">
        <f>IF(K20&lt;&gt;"[leeg]",IF(K20+1&lt;='Invoer gegevens'!$E$20,K20+1,"[leeg]"),"[leeg]")</f>
        <v>[leeg]</v>
      </c>
      <c r="M20" s="318" t="str">
        <f>IF(L20&lt;&gt;"[leeg]",IF(L20+1&lt;='Invoer gegevens'!$E$20,L20+1,"[leeg]"),"[leeg]")</f>
        <v>[leeg]</v>
      </c>
      <c r="N20" s="318" t="str">
        <f>IF(M20&lt;&gt;"[leeg]",IF(M20+1&lt;='Invoer gegevens'!$E$20,M20+1,"[leeg]"),"[leeg]")</f>
        <v>[leeg]</v>
      </c>
      <c r="O20" s="318" t="str">
        <f>IF(N20&lt;&gt;"[leeg]",IF(N20+1&lt;='Invoer gegevens'!$E$20,N20+1,"[leeg]"),"[leeg]")</f>
        <v>[leeg]</v>
      </c>
      <c r="P20" s="318" t="str">
        <f>IF(O20&lt;&gt;"[leeg]",IF(O20+1&lt;='Invoer gegevens'!$E$20,O20+1,"[leeg]"),"[leeg]")</f>
        <v>[leeg]</v>
      </c>
      <c r="Q20" s="318" t="str">
        <f>IF(P20&lt;&gt;"[leeg]",IF(P20+1&lt;='Invoer gegevens'!$E$20,P20+1,"[leeg]"),"[leeg]")</f>
        <v>[leeg]</v>
      </c>
      <c r="R20" s="318" t="s">
        <v>194</v>
      </c>
      <c r="S20" s="308"/>
      <c r="T20" s="318">
        <f>H20</f>
        <v>2023</v>
      </c>
      <c r="U20" s="318">
        <f t="shared" ref="U20:Y20" si="0">I20</f>
        <v>2024</v>
      </c>
      <c r="V20" s="318">
        <f t="shared" si="0"/>
        <v>2025</v>
      </c>
      <c r="W20" s="318" t="str">
        <f t="shared" si="0"/>
        <v>[leeg]</v>
      </c>
      <c r="X20" s="318" t="str">
        <f t="shared" si="0"/>
        <v>[leeg]</v>
      </c>
      <c r="Y20" s="318" t="str">
        <f t="shared" si="0"/>
        <v>[leeg]</v>
      </c>
      <c r="Z20" s="318" t="str">
        <f t="shared" ref="Z20" si="1">N20</f>
        <v>[leeg]</v>
      </c>
      <c r="AA20" s="318" t="str">
        <f t="shared" ref="AA20" si="2">O20</f>
        <v>[leeg]</v>
      </c>
      <c r="AB20" s="318" t="str">
        <f t="shared" ref="AB20:AD20" si="3">P20</f>
        <v>[leeg]</v>
      </c>
      <c r="AC20" s="318" t="str">
        <f t="shared" si="3"/>
        <v>[leeg]</v>
      </c>
      <c r="AD20" s="318" t="str">
        <f t="shared" si="3"/>
        <v>Totaal</v>
      </c>
      <c r="AE20" s="308"/>
      <c r="AF20" s="318">
        <f>T20</f>
        <v>2023</v>
      </c>
      <c r="AG20" s="318">
        <f t="shared" ref="AG20:AP20" si="4">U20</f>
        <v>2024</v>
      </c>
      <c r="AH20" s="318">
        <f t="shared" si="4"/>
        <v>2025</v>
      </c>
      <c r="AI20" s="318" t="str">
        <f t="shared" si="4"/>
        <v>[leeg]</v>
      </c>
      <c r="AJ20" s="318" t="str">
        <f t="shared" si="4"/>
        <v>[leeg]</v>
      </c>
      <c r="AK20" s="318" t="str">
        <f t="shared" si="4"/>
        <v>[leeg]</v>
      </c>
      <c r="AL20" s="318" t="str">
        <f t="shared" si="4"/>
        <v>[leeg]</v>
      </c>
      <c r="AM20" s="318" t="str">
        <f t="shared" si="4"/>
        <v>[leeg]</v>
      </c>
      <c r="AN20" s="318" t="str">
        <f t="shared" si="4"/>
        <v>[leeg]</v>
      </c>
      <c r="AO20" s="318" t="str">
        <f t="shared" si="4"/>
        <v>[leeg]</v>
      </c>
      <c r="AP20" s="318" t="str">
        <f t="shared" si="4"/>
        <v>Totaal</v>
      </c>
      <c r="AQ20" s="308"/>
      <c r="AR20" s="318">
        <f>AF20</f>
        <v>2023</v>
      </c>
      <c r="AS20" s="318">
        <f t="shared" ref="AS20:BB20" si="5">AG20</f>
        <v>2024</v>
      </c>
      <c r="AT20" s="318">
        <f t="shared" si="5"/>
        <v>2025</v>
      </c>
      <c r="AU20" s="318" t="str">
        <f t="shared" si="5"/>
        <v>[leeg]</v>
      </c>
      <c r="AV20" s="318" t="str">
        <f t="shared" si="5"/>
        <v>[leeg]</v>
      </c>
      <c r="AW20" s="318" t="str">
        <f t="shared" si="5"/>
        <v>[leeg]</v>
      </c>
      <c r="AX20" s="318" t="str">
        <f t="shared" si="5"/>
        <v>[leeg]</v>
      </c>
      <c r="AY20" s="318" t="str">
        <f t="shared" si="5"/>
        <v>[leeg]</v>
      </c>
      <c r="AZ20" s="318" t="str">
        <f t="shared" si="5"/>
        <v>[leeg]</v>
      </c>
      <c r="BA20" s="318" t="str">
        <f t="shared" si="5"/>
        <v>[leeg]</v>
      </c>
      <c r="BB20" s="318" t="str">
        <f t="shared" si="5"/>
        <v>Totaal</v>
      </c>
      <c r="BC20" s="11"/>
      <c r="BF20" s="33"/>
      <c r="BG20" s="33"/>
      <c r="BH20" s="33"/>
    </row>
    <row r="21" spans="2:60" s="16" customFormat="1" ht="15" customHeight="1" thickTop="1" thickBot="1" x14ac:dyDescent="0.25">
      <c r="B21" s="11"/>
      <c r="C21" s="48" t="s">
        <v>5</v>
      </c>
      <c r="D21" s="48"/>
      <c r="E21" s="89"/>
      <c r="F21" s="45"/>
      <c r="G21" s="46"/>
      <c r="H21" s="308"/>
      <c r="I21" s="308"/>
      <c r="J21" s="308"/>
      <c r="K21" s="308"/>
      <c r="L21" s="308"/>
      <c r="M21" s="308"/>
      <c r="N21" s="308"/>
      <c r="O21" s="308"/>
      <c r="P21" s="308"/>
      <c r="Q21" s="308"/>
      <c r="R21" s="308"/>
      <c r="S21" s="308"/>
      <c r="T21" s="308"/>
      <c r="U21" s="308"/>
      <c r="V21" s="308"/>
      <c r="W21" s="308"/>
      <c r="X21" s="308"/>
      <c r="Y21" s="308"/>
      <c r="Z21" s="308"/>
      <c r="AA21" s="308"/>
      <c r="AB21" s="308"/>
      <c r="AC21" s="308"/>
      <c r="AD21" s="308"/>
      <c r="AE21" s="308"/>
      <c r="AF21" s="308"/>
      <c r="AG21" s="308"/>
      <c r="AH21" s="308"/>
      <c r="AI21" s="308"/>
      <c r="AJ21" s="308"/>
      <c r="AK21" s="308"/>
      <c r="AL21" s="308"/>
      <c r="AM21" s="308"/>
      <c r="AN21" s="308"/>
      <c r="AO21" s="308"/>
      <c r="AP21" s="308"/>
      <c r="AQ21" s="308"/>
      <c r="AR21" s="308"/>
      <c r="AS21" s="308"/>
      <c r="AT21" s="308"/>
      <c r="AU21" s="308"/>
      <c r="AV21" s="308"/>
      <c r="AW21" s="308"/>
      <c r="AX21" s="308"/>
      <c r="AY21" s="308"/>
      <c r="AZ21" s="308"/>
      <c r="BA21" s="308"/>
      <c r="BB21" s="308"/>
      <c r="BC21" s="11"/>
      <c r="BF21" s="33"/>
      <c r="BG21" s="33"/>
      <c r="BH21" s="33"/>
    </row>
    <row r="22" spans="2:60" s="16" customFormat="1" ht="12.95" customHeight="1" thickTop="1" thickBot="1" x14ac:dyDescent="0.25">
      <c r="B22" s="11"/>
      <c r="C22" s="26" t="s">
        <v>3</v>
      </c>
      <c r="D22" s="26"/>
      <c r="E22" s="17"/>
      <c r="F22" s="45"/>
      <c r="G22" s="46"/>
      <c r="H22" s="464" t="str">
        <f>'Invoer gegevens'!$E$23</f>
        <v>LB</v>
      </c>
      <c r="I22" s="464" t="str">
        <f>IF(I20&lt;&gt;"[leeg]",'Invoer gegevens'!$E$23,"[leeg]")</f>
        <v>LB</v>
      </c>
      <c r="J22" s="464" t="str">
        <f>IF(J20&lt;&gt;"[leeg]",'Invoer gegevens'!$E$23,"[leeg]")</f>
        <v>LB</v>
      </c>
      <c r="K22" s="464" t="str">
        <f>IF(K20&lt;&gt;"[leeg]",'Invoer gegevens'!$E$23,"[leeg]")</f>
        <v>[leeg]</v>
      </c>
      <c r="L22" s="464" t="str">
        <f>IF(L20&lt;&gt;"[leeg]",'Invoer gegevens'!$E$23,"[leeg]")</f>
        <v>[leeg]</v>
      </c>
      <c r="M22" s="464" t="str">
        <f>IF(M20&lt;&gt;"[leeg]",'Invoer gegevens'!$E$23,"[leeg]")</f>
        <v>[leeg]</v>
      </c>
      <c r="N22" s="464" t="str">
        <f>IF(N20&lt;&gt;"[leeg]",'Invoer gegevens'!$E$23,"[leeg]")</f>
        <v>[leeg]</v>
      </c>
      <c r="O22" s="464" t="str">
        <f>IF(O20&lt;&gt;"[leeg]",'Invoer gegevens'!$E$23,"[leeg]")</f>
        <v>[leeg]</v>
      </c>
      <c r="P22" s="464" t="str">
        <f>IF(P20&lt;&gt;"[leeg]",'Invoer gegevens'!$E$23,"[leeg]")</f>
        <v>[leeg]</v>
      </c>
      <c r="Q22" s="464" t="str">
        <f>IF(Q20&lt;&gt;"[leeg]",'Invoer gegevens'!$E$23,"[leeg]")</f>
        <v>[leeg]</v>
      </c>
      <c r="R22" s="308"/>
      <c r="S22" s="308"/>
      <c r="T22" s="319" t="str">
        <f>'Invoer gegevens'!$F$23</f>
        <v>LB</v>
      </c>
      <c r="U22" s="319" t="str">
        <f>IF(U$20&lt;&gt;"[leeg]",'Invoer gegevens'!$F$23,"[leeg]")</f>
        <v>LB</v>
      </c>
      <c r="V22" s="319" t="str">
        <f>IF(V20&lt;&gt;"[leeg]",'Invoer gegevens'!$F$23,"[leeg]")</f>
        <v>LB</v>
      </c>
      <c r="W22" s="319" t="str">
        <f>IF(W20&lt;&gt;"[leeg]",'Invoer gegevens'!$F$23,"[leeg]")</f>
        <v>[leeg]</v>
      </c>
      <c r="X22" s="319" t="str">
        <f>IF(X20&lt;&gt;"[leeg]",'Invoer gegevens'!$F$23,"[leeg]")</f>
        <v>[leeg]</v>
      </c>
      <c r="Y22" s="319" t="str">
        <f>IF(Y20&lt;&gt;"[leeg]",'Invoer gegevens'!$F$23,"[leeg]")</f>
        <v>[leeg]</v>
      </c>
      <c r="Z22" s="319" t="str">
        <f>IF(Z20&lt;&gt;"[leeg]",'Invoer gegevens'!$F$23,"[leeg]")</f>
        <v>[leeg]</v>
      </c>
      <c r="AA22" s="319" t="str">
        <f>IF(AA20&lt;&gt;"[leeg]",'Invoer gegevens'!$F$23,"[leeg]")</f>
        <v>[leeg]</v>
      </c>
      <c r="AB22" s="319" t="str">
        <f>IF(AB20&lt;&gt;"[leeg]",'Invoer gegevens'!$F$23,"[leeg]")</f>
        <v>[leeg]</v>
      </c>
      <c r="AC22" s="319" t="str">
        <f>IF(AC20&lt;&gt;"[leeg]",'Invoer gegevens'!$F$23,"[leeg]")</f>
        <v>[leeg]</v>
      </c>
      <c r="AD22" s="308"/>
      <c r="AE22" s="308"/>
      <c r="AF22" s="320">
        <f>IF(AND(H22&gt;0,H22&lt;17),100,0)</f>
        <v>0</v>
      </c>
      <c r="AG22" s="320"/>
      <c r="AH22" s="320"/>
      <c r="AI22" s="320"/>
      <c r="AJ22" s="320"/>
      <c r="AK22" s="320"/>
      <c r="AL22" s="320"/>
      <c r="AM22" s="320"/>
      <c r="AN22" s="320"/>
      <c r="AO22" s="320"/>
      <c r="AP22" s="320"/>
      <c r="AQ22" s="308"/>
      <c r="AR22" s="320">
        <f>IF(AND(T22&gt;0,T22&lt;17),100,0)</f>
        <v>0</v>
      </c>
      <c r="AS22" s="320">
        <f t="shared" ref="AS22:BB22" si="6">IF(AND(U22&gt;0,U22&lt;17),100,0)</f>
        <v>0</v>
      </c>
      <c r="AT22" s="320">
        <f t="shared" si="6"/>
        <v>0</v>
      </c>
      <c r="AU22" s="320">
        <f t="shared" si="6"/>
        <v>0</v>
      </c>
      <c r="AV22" s="320">
        <f t="shared" si="6"/>
        <v>0</v>
      </c>
      <c r="AW22" s="320">
        <f t="shared" si="6"/>
        <v>0</v>
      </c>
      <c r="AX22" s="320">
        <f t="shared" si="6"/>
        <v>0</v>
      </c>
      <c r="AY22" s="320">
        <f t="shared" si="6"/>
        <v>0</v>
      </c>
      <c r="AZ22" s="320">
        <f t="shared" si="6"/>
        <v>0</v>
      </c>
      <c r="BA22" s="320">
        <f t="shared" si="6"/>
        <v>0</v>
      </c>
      <c r="BB22" s="320">
        <f t="shared" si="6"/>
        <v>0</v>
      </c>
      <c r="BC22" s="11"/>
      <c r="BF22" s="33"/>
      <c r="BG22" s="33"/>
      <c r="BH22" s="33"/>
    </row>
    <row r="23" spans="2:60" s="16" customFormat="1" ht="12.95" customHeight="1" thickTop="1" thickBot="1" x14ac:dyDescent="0.25">
      <c r="B23" s="11"/>
      <c r="C23" s="26" t="s">
        <v>4</v>
      </c>
      <c r="D23" s="26"/>
      <c r="E23" s="17"/>
      <c r="F23" s="45"/>
      <c r="G23" s="46"/>
      <c r="H23" s="321">
        <f>'Invoer gegevens'!$E$24</f>
        <v>12</v>
      </c>
      <c r="I23" s="322">
        <f>IF(I20&lt;&gt;"[leeg]",MIN(H23+1,VLOOKUP(I22,Saltab2023,22,FALSE)),"[leeg]")</f>
        <v>12</v>
      </c>
      <c r="J23" s="322">
        <f t="shared" ref="J23:Q23" si="7">IF(J20&lt;&gt;"[leeg]",MIN(I23+1,VLOOKUP(J22,Saltab2023,22,FALSE)),"[leeg]")</f>
        <v>12</v>
      </c>
      <c r="K23" s="322" t="str">
        <f t="shared" si="7"/>
        <v>[leeg]</v>
      </c>
      <c r="L23" s="322" t="str">
        <f t="shared" si="7"/>
        <v>[leeg]</v>
      </c>
      <c r="M23" s="322" t="str">
        <f t="shared" si="7"/>
        <v>[leeg]</v>
      </c>
      <c r="N23" s="322" t="str">
        <f t="shared" si="7"/>
        <v>[leeg]</v>
      </c>
      <c r="O23" s="322" t="str">
        <f t="shared" si="7"/>
        <v>[leeg]</v>
      </c>
      <c r="P23" s="322" t="str">
        <f t="shared" si="7"/>
        <v>[leeg]</v>
      </c>
      <c r="Q23" s="322" t="str">
        <f t="shared" si="7"/>
        <v>[leeg]</v>
      </c>
      <c r="R23" s="308"/>
      <c r="S23" s="308"/>
      <c r="T23" s="321">
        <f>'Invoer gegevens'!$F$24</f>
        <v>12</v>
      </c>
      <c r="U23" s="322">
        <f t="shared" ref="U23:AC23" si="8">IF(U20&lt;&gt;"[leeg]",MIN(T23+1,VLOOKUP(U22,Saltab2023,22,FALSE)),"[leeg]")</f>
        <v>12</v>
      </c>
      <c r="V23" s="322">
        <f t="shared" si="8"/>
        <v>12</v>
      </c>
      <c r="W23" s="322" t="str">
        <f t="shared" si="8"/>
        <v>[leeg]</v>
      </c>
      <c r="X23" s="322" t="str">
        <f t="shared" si="8"/>
        <v>[leeg]</v>
      </c>
      <c r="Y23" s="322" t="str">
        <f t="shared" si="8"/>
        <v>[leeg]</v>
      </c>
      <c r="Z23" s="322" t="str">
        <f t="shared" si="8"/>
        <v>[leeg]</v>
      </c>
      <c r="AA23" s="322" t="str">
        <f t="shared" si="8"/>
        <v>[leeg]</v>
      </c>
      <c r="AB23" s="322" t="str">
        <f t="shared" si="8"/>
        <v>[leeg]</v>
      </c>
      <c r="AC23" s="322" t="str">
        <f t="shared" si="8"/>
        <v>[leeg]</v>
      </c>
      <c r="AD23" s="308"/>
      <c r="AE23" s="308"/>
      <c r="AF23" s="323"/>
      <c r="AG23" s="323"/>
      <c r="AH23" s="323"/>
      <c r="AI23" s="323"/>
      <c r="AJ23" s="323"/>
      <c r="AK23" s="323"/>
      <c r="AL23" s="323"/>
      <c r="AM23" s="323"/>
      <c r="AN23" s="323"/>
      <c r="AO23" s="323"/>
      <c r="AP23" s="323"/>
      <c r="AQ23" s="308"/>
      <c r="AR23" s="323"/>
      <c r="AS23" s="323"/>
      <c r="AT23" s="323"/>
      <c r="AU23" s="323"/>
      <c r="AV23" s="323"/>
      <c r="AW23" s="323"/>
      <c r="AX23" s="323"/>
      <c r="AY23" s="323"/>
      <c r="AZ23" s="323"/>
      <c r="BA23" s="323"/>
      <c r="BB23" s="323"/>
      <c r="BC23" s="11"/>
      <c r="BF23" s="33"/>
      <c r="BG23" s="33"/>
      <c r="BH23" s="33"/>
    </row>
    <row r="24" spans="2:60" s="16" customFormat="1" ht="12.95" customHeight="1" thickTop="1" thickBot="1" x14ac:dyDescent="0.25">
      <c r="B24" s="11"/>
      <c r="C24" s="26" t="s">
        <v>6</v>
      </c>
      <c r="D24" s="26"/>
      <c r="E24" s="17"/>
      <c r="F24" s="45"/>
      <c r="G24" s="46"/>
      <c r="H24" s="324">
        <f>VLOOKUP(H22,Saltab2023,H23+5,FALSE)</f>
        <v>4573</v>
      </c>
      <c r="I24" s="324">
        <f t="shared" ref="I24:Q24" si="9">IF(I20&lt;&gt;"[leeg]",VLOOKUP(I22,Saltab2023,I23+5,FALSE),0)</f>
        <v>4573</v>
      </c>
      <c r="J24" s="324">
        <f t="shared" si="9"/>
        <v>4573</v>
      </c>
      <c r="K24" s="324">
        <f t="shared" si="9"/>
        <v>0</v>
      </c>
      <c r="L24" s="324">
        <f t="shared" si="9"/>
        <v>0</v>
      </c>
      <c r="M24" s="324">
        <f t="shared" si="9"/>
        <v>0</v>
      </c>
      <c r="N24" s="324">
        <f t="shared" si="9"/>
        <v>0</v>
      </c>
      <c r="O24" s="324">
        <f t="shared" si="9"/>
        <v>0</v>
      </c>
      <c r="P24" s="324">
        <f t="shared" si="9"/>
        <v>0</v>
      </c>
      <c r="Q24" s="324">
        <f t="shared" si="9"/>
        <v>0</v>
      </c>
      <c r="R24" s="308"/>
      <c r="S24" s="308"/>
      <c r="T24" s="324">
        <f>VLOOKUP(T22,Saltab2023,T23+5,FALSE)</f>
        <v>4573</v>
      </c>
      <c r="U24" s="324">
        <f t="shared" ref="U24:AC24" si="10">IF(U20&lt;&gt;"[leeg]",VLOOKUP(U22,Saltab2023,U23+5,FALSE),0)</f>
        <v>4573</v>
      </c>
      <c r="V24" s="324">
        <f t="shared" si="10"/>
        <v>4573</v>
      </c>
      <c r="W24" s="324">
        <f t="shared" si="10"/>
        <v>0</v>
      </c>
      <c r="X24" s="324">
        <f t="shared" si="10"/>
        <v>0</v>
      </c>
      <c r="Y24" s="324">
        <f t="shared" si="10"/>
        <v>0</v>
      </c>
      <c r="Z24" s="324">
        <f t="shared" si="10"/>
        <v>0</v>
      </c>
      <c r="AA24" s="324">
        <f t="shared" si="10"/>
        <v>0</v>
      </c>
      <c r="AB24" s="324">
        <f t="shared" si="10"/>
        <v>0</v>
      </c>
      <c r="AC24" s="324">
        <f t="shared" si="10"/>
        <v>0</v>
      </c>
      <c r="AD24" s="308"/>
      <c r="AE24" s="308"/>
      <c r="AF24" s="325"/>
      <c r="AG24" s="325"/>
      <c r="AH24" s="325"/>
      <c r="AI24" s="325"/>
      <c r="AJ24" s="325"/>
      <c r="AK24" s="325"/>
      <c r="AL24" s="325"/>
      <c r="AM24" s="325"/>
      <c r="AN24" s="325"/>
      <c r="AO24" s="325"/>
      <c r="AP24" s="325"/>
      <c r="AQ24" s="308"/>
      <c r="AR24" s="325"/>
      <c r="AS24" s="325"/>
      <c r="AT24" s="325"/>
      <c r="AU24" s="325"/>
      <c r="AV24" s="325"/>
      <c r="AW24" s="325"/>
      <c r="AX24" s="325"/>
      <c r="AY24" s="325"/>
      <c r="AZ24" s="325"/>
      <c r="BA24" s="325"/>
      <c r="BB24" s="325"/>
      <c r="BC24" s="11"/>
      <c r="BF24" s="33"/>
      <c r="BG24" s="33"/>
      <c r="BH24" s="33"/>
    </row>
    <row r="25" spans="2:60" s="16" customFormat="1" ht="12.95" customHeight="1" thickTop="1" thickBot="1" x14ac:dyDescent="0.25">
      <c r="B25" s="11"/>
      <c r="C25" s="26" t="s">
        <v>103</v>
      </c>
      <c r="D25" s="26"/>
      <c r="E25" s="17"/>
      <c r="F25" s="45"/>
      <c r="G25" s="46"/>
      <c r="H25" s="326">
        <f>'Invoer gegevens'!$E$26</f>
        <v>1</v>
      </c>
      <c r="I25" s="326">
        <f>IF(I20&lt;&gt;"[leeg]",'Invoer gegevens'!$E$26,0)</f>
        <v>1</v>
      </c>
      <c r="J25" s="326">
        <f>IF(J20&lt;&gt;"[leeg]",'Invoer gegevens'!$E$26,0)</f>
        <v>1</v>
      </c>
      <c r="K25" s="326">
        <f>IF(K20&lt;&gt;"[leeg]",'Invoer gegevens'!$E$26,0)</f>
        <v>0</v>
      </c>
      <c r="L25" s="326">
        <f>IF(L20&lt;&gt;"[leeg]",'Invoer gegevens'!$E$26,0)</f>
        <v>0</v>
      </c>
      <c r="M25" s="326">
        <f>IF(M20&lt;&gt;"[leeg]",'Invoer gegevens'!$E$26,0)</f>
        <v>0</v>
      </c>
      <c r="N25" s="326">
        <f>IF(N20&lt;&gt;"[leeg]",'Invoer gegevens'!$E$26,0)</f>
        <v>0</v>
      </c>
      <c r="O25" s="326">
        <f>IF(O20&lt;&gt;"[leeg]",'Invoer gegevens'!$E$26,0)</f>
        <v>0</v>
      </c>
      <c r="P25" s="326">
        <f>IF(P20&lt;&gt;"[leeg]",'Invoer gegevens'!$E$26,0)</f>
        <v>0</v>
      </c>
      <c r="Q25" s="326">
        <f>IF(Q20&lt;&gt;"[leeg]",'Invoer gegevens'!$E$26,0)</f>
        <v>0</v>
      </c>
      <c r="R25" s="308"/>
      <c r="S25" s="308"/>
      <c r="T25" s="326">
        <f>'Invoer gegevens'!$F$26</f>
        <v>0.8</v>
      </c>
      <c r="U25" s="326">
        <f>IF(U$20&lt;&gt;"[leeg]",'Invoer gegevens'!$F$26,0)</f>
        <v>0.8</v>
      </c>
      <c r="V25" s="326">
        <f>IF(V20&lt;&gt;"[leeg]",'Invoer gegevens'!$F$26,0)</f>
        <v>0.8</v>
      </c>
      <c r="W25" s="326">
        <f>IF(W20&lt;&gt;"[leeg]",'Invoer gegevens'!$F$26,0)</f>
        <v>0</v>
      </c>
      <c r="X25" s="326">
        <f>IF(X20&lt;&gt;"[leeg]",'Invoer gegevens'!$F$26,0)</f>
        <v>0</v>
      </c>
      <c r="Y25" s="326">
        <f>IF(Y20&lt;&gt;"[leeg]",'Invoer gegevens'!$F$26,0)</f>
        <v>0</v>
      </c>
      <c r="Z25" s="326">
        <f>IF(Z20&lt;&gt;"[leeg]",'Invoer gegevens'!$F$26,0)</f>
        <v>0</v>
      </c>
      <c r="AA25" s="326">
        <f>IF(AA20&lt;&gt;"[leeg]",'Invoer gegevens'!$F$26,0)</f>
        <v>0</v>
      </c>
      <c r="AB25" s="326">
        <f>IF(AB20&lt;&gt;"[leeg]",'Invoer gegevens'!$F$26,0)</f>
        <v>0</v>
      </c>
      <c r="AC25" s="326">
        <f>IF(AC20&lt;&gt;"[leeg]",'Invoer gegevens'!$F$26,0)</f>
        <v>0</v>
      </c>
      <c r="AD25" s="308"/>
      <c r="AE25" s="308"/>
      <c r="AF25" s="308"/>
      <c r="AG25" s="308"/>
      <c r="AH25" s="308"/>
      <c r="AI25" s="308"/>
      <c r="AJ25" s="308"/>
      <c r="AK25" s="308"/>
      <c r="AL25" s="308"/>
      <c r="AM25" s="308"/>
      <c r="AN25" s="308"/>
      <c r="AO25" s="308"/>
      <c r="AP25" s="308"/>
      <c r="AQ25" s="308"/>
      <c r="AR25" s="308"/>
      <c r="AS25" s="308"/>
      <c r="AT25" s="308"/>
      <c r="AU25" s="308"/>
      <c r="AV25" s="308"/>
      <c r="AW25" s="308"/>
      <c r="AX25" s="308"/>
      <c r="AY25" s="308"/>
      <c r="AZ25" s="308"/>
      <c r="BA25" s="308"/>
      <c r="BB25" s="308"/>
      <c r="BC25" s="11"/>
      <c r="BF25" s="33"/>
      <c r="BG25" s="33"/>
      <c r="BH25" s="33"/>
    </row>
    <row r="26" spans="2:60" s="131" customFormat="1" ht="12.95" customHeight="1" thickTop="1" thickBot="1" x14ac:dyDescent="0.25">
      <c r="B26" s="130"/>
      <c r="C26" s="30"/>
      <c r="D26" s="30"/>
      <c r="E26" s="35"/>
      <c r="F26" s="31"/>
      <c r="G26" s="30"/>
      <c r="H26" s="329">
        <f>Hulptabellen!T12</f>
        <v>0</v>
      </c>
      <c r="I26" s="329">
        <f>IF(I20&lt;&gt;"[leeg]",IF(J20="[leeg]",Hulptabellen!$T$13,1),0)</f>
        <v>1</v>
      </c>
      <c r="J26" s="329">
        <f>IF(J20&lt;&gt;"[leeg]",IF(K20="[leeg]",Hulptabellen!$T$13,1),0)</f>
        <v>0</v>
      </c>
      <c r="K26" s="329">
        <f>IF(K20&lt;&gt;"[leeg]",IF(L20="[leeg]",Hulptabellen!$T$13,1),0)</f>
        <v>0</v>
      </c>
      <c r="L26" s="329">
        <f>IF(L20&lt;&gt;"[leeg]",IF(M20="[leeg]",Hulptabellen!$T$13,1),0)</f>
        <v>0</v>
      </c>
      <c r="M26" s="329">
        <f>IF(M20&lt;&gt;"[leeg]",IF(N20="[leeg]",Hulptabellen!$T$13,1),0)</f>
        <v>0</v>
      </c>
      <c r="N26" s="329">
        <f>IF(N20&lt;&gt;"[leeg]",IF(O20="[leeg]",Hulptabellen!$T$13,1),0)</f>
        <v>0</v>
      </c>
      <c r="O26" s="329">
        <f>IF(O20&lt;&gt;"[leeg]",IF(P20="[leeg]",Hulptabellen!$T$13,1),0)</f>
        <v>0</v>
      </c>
      <c r="P26" s="329">
        <f>IF(P20&lt;&gt;"[leeg]",IF(Q20="[leeg]",Hulptabellen!$T$13,1),0)</f>
        <v>0</v>
      </c>
      <c r="Q26" s="329">
        <f>IF(Q20&lt;&gt;"[leeg]",IF(R20="[leeg]",Hulptabellen!$T$13,1),0)</f>
        <v>0</v>
      </c>
      <c r="R26" s="329"/>
      <c r="S26" s="320"/>
      <c r="T26" s="329">
        <f>H26</f>
        <v>0</v>
      </c>
      <c r="U26" s="329">
        <f t="shared" ref="U26:AC26" si="11">I26</f>
        <v>1</v>
      </c>
      <c r="V26" s="329">
        <f t="shared" si="11"/>
        <v>0</v>
      </c>
      <c r="W26" s="329">
        <f t="shared" si="11"/>
        <v>0</v>
      </c>
      <c r="X26" s="329">
        <f t="shared" si="11"/>
        <v>0</v>
      </c>
      <c r="Y26" s="329">
        <f t="shared" si="11"/>
        <v>0</v>
      </c>
      <c r="Z26" s="329">
        <f t="shared" si="11"/>
        <v>0</v>
      </c>
      <c r="AA26" s="329">
        <f t="shared" si="11"/>
        <v>0</v>
      </c>
      <c r="AB26" s="329">
        <f t="shared" si="11"/>
        <v>0</v>
      </c>
      <c r="AC26" s="329">
        <f t="shared" si="11"/>
        <v>0</v>
      </c>
      <c r="AD26" s="329"/>
      <c r="AE26" s="320"/>
      <c r="AF26" s="329">
        <f>T26</f>
        <v>0</v>
      </c>
      <c r="AG26" s="329">
        <f t="shared" ref="AG26:AP26" si="12">U26</f>
        <v>1</v>
      </c>
      <c r="AH26" s="329">
        <f t="shared" si="12"/>
        <v>0</v>
      </c>
      <c r="AI26" s="329">
        <f t="shared" si="12"/>
        <v>0</v>
      </c>
      <c r="AJ26" s="329">
        <f t="shared" si="12"/>
        <v>0</v>
      </c>
      <c r="AK26" s="329">
        <f t="shared" si="12"/>
        <v>0</v>
      </c>
      <c r="AL26" s="329">
        <f t="shared" si="12"/>
        <v>0</v>
      </c>
      <c r="AM26" s="329">
        <f t="shared" si="12"/>
        <v>0</v>
      </c>
      <c r="AN26" s="329">
        <f t="shared" si="12"/>
        <v>0</v>
      </c>
      <c r="AO26" s="329">
        <f t="shared" si="12"/>
        <v>0</v>
      </c>
      <c r="AP26" s="329">
        <f t="shared" si="12"/>
        <v>0</v>
      </c>
      <c r="AQ26" s="320"/>
      <c r="AR26" s="329">
        <f>AF26</f>
        <v>0</v>
      </c>
      <c r="AS26" s="329">
        <f t="shared" ref="AS26:BA26" si="13">AG26</f>
        <v>1</v>
      </c>
      <c r="AT26" s="329">
        <f t="shared" si="13"/>
        <v>0</v>
      </c>
      <c r="AU26" s="329">
        <f t="shared" si="13"/>
        <v>0</v>
      </c>
      <c r="AV26" s="329">
        <f t="shared" si="13"/>
        <v>0</v>
      </c>
      <c r="AW26" s="329">
        <f t="shared" si="13"/>
        <v>0</v>
      </c>
      <c r="AX26" s="329">
        <f t="shared" si="13"/>
        <v>0</v>
      </c>
      <c r="AY26" s="329">
        <f t="shared" si="13"/>
        <v>0</v>
      </c>
      <c r="AZ26" s="329">
        <f t="shared" si="13"/>
        <v>0</v>
      </c>
      <c r="BA26" s="329">
        <f t="shared" si="13"/>
        <v>0</v>
      </c>
      <c r="BB26" s="320"/>
      <c r="BC26" s="130"/>
    </row>
    <row r="27" spans="2:60" s="16" customFormat="1" ht="12.95" customHeight="1" collapsed="1" thickTop="1" thickBot="1" x14ac:dyDescent="0.25">
      <c r="B27" s="11"/>
      <c r="C27" s="28" t="s">
        <v>142</v>
      </c>
      <c r="D27" s="28"/>
      <c r="E27" s="88"/>
      <c r="F27" s="45"/>
      <c r="G27" s="46"/>
      <c r="H27" s="471">
        <f>H24*H25</f>
        <v>4573</v>
      </c>
      <c r="I27" s="330">
        <f>IF(I20&lt;&gt;"[leeg]",I24*I25,0)</f>
        <v>4573</v>
      </c>
      <c r="J27" s="330">
        <f t="shared" ref="J27:Q27" si="14">IF(J20&lt;&gt;"[leeg]",J24*J25,0)</f>
        <v>4573</v>
      </c>
      <c r="K27" s="330">
        <f t="shared" si="14"/>
        <v>0</v>
      </c>
      <c r="L27" s="330">
        <f t="shared" si="14"/>
        <v>0</v>
      </c>
      <c r="M27" s="330">
        <f t="shared" si="14"/>
        <v>0</v>
      </c>
      <c r="N27" s="330">
        <f t="shared" si="14"/>
        <v>0</v>
      </c>
      <c r="O27" s="330">
        <f t="shared" si="14"/>
        <v>0</v>
      </c>
      <c r="P27" s="330">
        <f t="shared" si="14"/>
        <v>0</v>
      </c>
      <c r="Q27" s="330">
        <f t="shared" si="14"/>
        <v>0</v>
      </c>
      <c r="R27" s="330">
        <f>H27*H$26+I27*I$26+J27*J$26+K27*K$26+L27*L$26+M27*M$26+N27*N$26+O27*O$26+P27*P$26+Q27*Q$26</f>
        <v>4573</v>
      </c>
      <c r="S27" s="308"/>
      <c r="T27" s="330">
        <f t="shared" ref="T27:AC27" si="15">IF(T20&lt;&gt;"[leeg]",$D13*T24,0)</f>
        <v>4115.7</v>
      </c>
      <c r="U27" s="330">
        <f t="shared" si="15"/>
        <v>4115.7</v>
      </c>
      <c r="V27" s="330">
        <f t="shared" si="15"/>
        <v>4115.7</v>
      </c>
      <c r="W27" s="330">
        <f t="shared" si="15"/>
        <v>0</v>
      </c>
      <c r="X27" s="330">
        <f t="shared" si="15"/>
        <v>0</v>
      </c>
      <c r="Y27" s="330">
        <f t="shared" si="15"/>
        <v>0</v>
      </c>
      <c r="Z27" s="330">
        <f t="shared" si="15"/>
        <v>0</v>
      </c>
      <c r="AA27" s="330">
        <f t="shared" si="15"/>
        <v>0</v>
      </c>
      <c r="AB27" s="330">
        <f t="shared" si="15"/>
        <v>0</v>
      </c>
      <c r="AC27" s="330">
        <f t="shared" si="15"/>
        <v>0</v>
      </c>
      <c r="AD27" s="330">
        <f t="shared" ref="AD27:AD36" si="16">T27*T$26+U27*U$26+V27*V$26+W27*W$26+X27*X$26+Y27*Y$26+Z27*Z$26+AA27*AA$26+AB27*AB$26+AC27*AC$26</f>
        <v>4115.7</v>
      </c>
      <c r="AE27" s="308"/>
      <c r="AF27" s="330">
        <f>H27*12</f>
        <v>54876</v>
      </c>
      <c r="AG27" s="330">
        <f t="shared" ref="AG27:AO27" si="17">I27*12</f>
        <v>54876</v>
      </c>
      <c r="AH27" s="330">
        <f t="shared" si="17"/>
        <v>54876</v>
      </c>
      <c r="AI27" s="330">
        <f t="shared" si="17"/>
        <v>0</v>
      </c>
      <c r="AJ27" s="330">
        <f t="shared" si="17"/>
        <v>0</v>
      </c>
      <c r="AK27" s="330">
        <f t="shared" si="17"/>
        <v>0</v>
      </c>
      <c r="AL27" s="330">
        <f t="shared" si="17"/>
        <v>0</v>
      </c>
      <c r="AM27" s="330">
        <f t="shared" si="17"/>
        <v>0</v>
      </c>
      <c r="AN27" s="330">
        <f t="shared" si="17"/>
        <v>0</v>
      </c>
      <c r="AO27" s="330">
        <f t="shared" si="17"/>
        <v>0</v>
      </c>
      <c r="AP27" s="330">
        <f t="shared" ref="AP27:AP36" si="18">AF27*AF$26+AG27*AG$26+AH27*AH$26+AI27*AI$26+AJ27*AJ$26+AK27*AK$26+AL27*AL$26+AM27*AM$26+AN27*AN$26+AO27*AO$26</f>
        <v>54876</v>
      </c>
      <c r="AQ27" s="308"/>
      <c r="AR27" s="330">
        <f>T27*12</f>
        <v>49388.399999999994</v>
      </c>
      <c r="AS27" s="330">
        <f>IF(AS$20&lt;&gt;"[leeg]",U27*12,0)</f>
        <v>49388.399999999994</v>
      </c>
      <c r="AT27" s="330">
        <f t="shared" ref="AT27:BA27" si="19">V27*12</f>
        <v>49388.399999999994</v>
      </c>
      <c r="AU27" s="330">
        <f t="shared" si="19"/>
        <v>0</v>
      </c>
      <c r="AV27" s="330">
        <f t="shared" si="19"/>
        <v>0</v>
      </c>
      <c r="AW27" s="330">
        <f t="shared" si="19"/>
        <v>0</v>
      </c>
      <c r="AX27" s="330">
        <f t="shared" si="19"/>
        <v>0</v>
      </c>
      <c r="AY27" s="330">
        <f t="shared" si="19"/>
        <v>0</v>
      </c>
      <c r="AZ27" s="330">
        <f t="shared" si="19"/>
        <v>0</v>
      </c>
      <c r="BA27" s="330">
        <f t="shared" si="19"/>
        <v>0</v>
      </c>
      <c r="BB27" s="330">
        <f t="shared" ref="BB27:BB36" si="20">AR27*AR$26+AS27*AS$26+AT27*AT$26+AU27*AU$26+AV27*AV$26+AW27*AW$26+AX27*AX$26+AY27*AY$26+AZ27*AZ$26+BA27*BA$26</f>
        <v>49388.399999999994</v>
      </c>
      <c r="BC27" s="11"/>
      <c r="BF27" s="33"/>
      <c r="BG27" s="33"/>
      <c r="BH27" s="33"/>
    </row>
    <row r="28" spans="2:60" s="16" customFormat="1" ht="12.95" customHeight="1" thickTop="1" thickBot="1" x14ac:dyDescent="0.25">
      <c r="B28" s="11"/>
      <c r="C28" s="26" t="s">
        <v>8</v>
      </c>
      <c r="D28" s="26"/>
      <c r="E28" s="17"/>
      <c r="F28" s="27"/>
      <c r="G28" s="54"/>
      <c r="H28" s="472">
        <f>ROUND(IF((H$27+H30)*'Tabellen PO-Raad'!$D$34&lt;H25*'Tabellen PO-Raad'!$D$36,H25*'Tabellen PO-Raad'!$D$36,(H$27+H30)*'Tabellen PO-Raad'!$D$34),2)</f>
        <v>368.69</v>
      </c>
      <c r="I28" s="324">
        <f>IF(I$20&lt;&gt;"[leeg]",ROUND(IF((I$27+I30)*'Tabellen PO-Raad'!$D$34&lt;I25*'Tabellen PO-Raad'!$D$36,I25*'Tabellen PO-Raad'!$D$36,(I$27+I30)*'Tabellen PO-Raad'!$D$34),2),0)</f>
        <v>368.69</v>
      </c>
      <c r="J28" s="324">
        <f>IF(J$20&lt;&gt;"[leeg]",ROUND(IF((J$27+J30)*'Tabellen PO-Raad'!$D$34&lt;J25*'Tabellen PO-Raad'!$D$36,J25*'Tabellen PO-Raad'!$D$36,(J$27+J30)*'Tabellen PO-Raad'!$D$34),2),0)</f>
        <v>368.69</v>
      </c>
      <c r="K28" s="324">
        <f>IF(K$20&lt;&gt;"[leeg]",ROUND(IF((K$27+K30)*'Tabellen PO-Raad'!$D$34&lt;K25*'Tabellen PO-Raad'!$D$36,K25*'Tabellen PO-Raad'!$D$36,(K$27+K30)*'Tabellen PO-Raad'!$D$34),2),0)</f>
        <v>0</v>
      </c>
      <c r="L28" s="324">
        <f>IF(L$20&lt;&gt;"[leeg]",ROUND(IF((L$27+L30)*'Tabellen PO-Raad'!$D$34&lt;L25*'Tabellen PO-Raad'!$D$36,L25*'Tabellen PO-Raad'!$D$36,(L$27+L30)*'Tabellen PO-Raad'!$D$34),2),0)</f>
        <v>0</v>
      </c>
      <c r="M28" s="324">
        <f>IF(M$20&lt;&gt;"[leeg]",ROUND(IF((M$27+M30)*'Tabellen PO-Raad'!$D$34&lt;M25*'Tabellen PO-Raad'!$D$36,M25*'Tabellen PO-Raad'!$D$36,(M$27+M30)*'Tabellen PO-Raad'!$D$34),2),0)</f>
        <v>0</v>
      </c>
      <c r="N28" s="324">
        <f>IF(N$20&lt;&gt;"[leeg]",ROUND(IF((N$27+N30)*'Tabellen PO-Raad'!$D$34&lt;N25*'Tabellen PO-Raad'!$D$36,N25*'Tabellen PO-Raad'!$D$36,(N$27+N30)*'Tabellen PO-Raad'!$D$34),2),0)</f>
        <v>0</v>
      </c>
      <c r="O28" s="324">
        <f>IF(O$20&lt;&gt;"[leeg]",ROUND(IF((O$27+O30)*'Tabellen PO-Raad'!$D$34&lt;O25*'Tabellen PO-Raad'!$D$36,O25*'Tabellen PO-Raad'!$D$36,(O$27+O30)*'Tabellen PO-Raad'!$D$34),2),0)</f>
        <v>0</v>
      </c>
      <c r="P28" s="324">
        <f>IF(P$20&lt;&gt;"[leeg]",ROUND(IF((P$27+P30)*'Tabellen PO-Raad'!$D$34&lt;P25*'Tabellen PO-Raad'!$D$36,P25*'Tabellen PO-Raad'!$D$36,(P$27+P30)*'Tabellen PO-Raad'!$D$34),2),0)</f>
        <v>0</v>
      </c>
      <c r="Q28" s="324">
        <f>IF(Q$20&lt;&gt;"[leeg]",ROUND(IF((Q$27+Q30)*'Tabellen PO-Raad'!$D$34&lt;Q25*'Tabellen PO-Raad'!$D$36,Q25*'Tabellen PO-Raad'!$D$36,(Q$27+Q30)*'Tabellen PO-Raad'!$D$34),2),0)</f>
        <v>0</v>
      </c>
      <c r="R28" s="324">
        <f t="shared" ref="R28:R36" si="21">H28*H$26+I28*I$26+J28*J$26+K28*K$26+L28*L$26+M28*M$26+N28*N$26+O28*O$26+P28*P$26+Q28*Q$26</f>
        <v>368.69</v>
      </c>
      <c r="S28" s="308"/>
      <c r="T28" s="324">
        <f t="shared" ref="T28:U33" si="22">IF(T$20&lt;&gt;"[leeg]",H28,0)</f>
        <v>368.69</v>
      </c>
      <c r="U28" s="324">
        <f t="shared" si="22"/>
        <v>368.69</v>
      </c>
      <c r="V28" s="324">
        <f t="shared" ref="V28:AC33" si="23">IF(V$20&lt;&gt;"[leeg]",J28,0)</f>
        <v>368.69</v>
      </c>
      <c r="W28" s="324">
        <f t="shared" si="23"/>
        <v>0</v>
      </c>
      <c r="X28" s="324">
        <f t="shared" si="23"/>
        <v>0</v>
      </c>
      <c r="Y28" s="324">
        <f t="shared" si="23"/>
        <v>0</v>
      </c>
      <c r="Z28" s="324">
        <f t="shared" si="23"/>
        <v>0</v>
      </c>
      <c r="AA28" s="324">
        <f t="shared" si="23"/>
        <v>0</v>
      </c>
      <c r="AB28" s="324">
        <f t="shared" si="23"/>
        <v>0</v>
      </c>
      <c r="AC28" s="324">
        <f t="shared" si="23"/>
        <v>0</v>
      </c>
      <c r="AD28" s="324">
        <f t="shared" si="16"/>
        <v>368.69</v>
      </c>
      <c r="AE28" s="308"/>
      <c r="AF28" s="324">
        <f>+H28*12</f>
        <v>4424.28</v>
      </c>
      <c r="AG28" s="324">
        <f t="shared" ref="AG28:AO33" si="24">+I28*12</f>
        <v>4424.28</v>
      </c>
      <c r="AH28" s="324">
        <f t="shared" si="24"/>
        <v>4424.28</v>
      </c>
      <c r="AI28" s="324">
        <f t="shared" si="24"/>
        <v>0</v>
      </c>
      <c r="AJ28" s="324">
        <f t="shared" si="24"/>
        <v>0</v>
      </c>
      <c r="AK28" s="324">
        <f t="shared" si="24"/>
        <v>0</v>
      </c>
      <c r="AL28" s="324">
        <f t="shared" si="24"/>
        <v>0</v>
      </c>
      <c r="AM28" s="324">
        <f t="shared" si="24"/>
        <v>0</v>
      </c>
      <c r="AN28" s="324">
        <f t="shared" si="24"/>
        <v>0</v>
      </c>
      <c r="AO28" s="324">
        <f t="shared" si="24"/>
        <v>0</v>
      </c>
      <c r="AP28" s="324">
        <f t="shared" si="18"/>
        <v>4424.28</v>
      </c>
      <c r="AQ28" s="308"/>
      <c r="AR28" s="330">
        <f t="shared" ref="AR28:AR33" si="25">T28*12</f>
        <v>4424.28</v>
      </c>
      <c r="AS28" s="324">
        <f t="shared" ref="AS28" si="26">AG28</f>
        <v>4424.28</v>
      </c>
      <c r="AT28" s="324">
        <f t="shared" ref="AT28" si="27">AH28</f>
        <v>4424.28</v>
      </c>
      <c r="AU28" s="324">
        <f t="shared" ref="AU28" si="28">AI28</f>
        <v>0</v>
      </c>
      <c r="AV28" s="324">
        <f t="shared" ref="AV28" si="29">AJ28</f>
        <v>0</v>
      </c>
      <c r="AW28" s="324">
        <f t="shared" ref="AW28" si="30">AK28</f>
        <v>0</v>
      </c>
      <c r="AX28" s="324">
        <f t="shared" ref="AX28" si="31">AL28</f>
        <v>0</v>
      </c>
      <c r="AY28" s="324">
        <f t="shared" ref="AY28" si="32">AM28</f>
        <v>0</v>
      </c>
      <c r="AZ28" s="324">
        <f t="shared" ref="AZ28" si="33">AN28</f>
        <v>0</v>
      </c>
      <c r="BA28" s="324">
        <f t="shared" ref="BA28" si="34">AO28</f>
        <v>0</v>
      </c>
      <c r="BB28" s="324">
        <f t="shared" si="20"/>
        <v>4424.28</v>
      </c>
      <c r="BC28" s="11"/>
      <c r="BF28" s="33"/>
      <c r="BG28" s="33"/>
      <c r="BH28" s="33"/>
    </row>
    <row r="29" spans="2:60" s="16" customFormat="1" ht="12.95" customHeight="1" thickTop="1" thickBot="1" x14ac:dyDescent="0.25">
      <c r="B29" s="11"/>
      <c r="C29" s="26" t="s">
        <v>21</v>
      </c>
      <c r="D29" s="26"/>
      <c r="E29" s="17"/>
      <c r="F29" s="27"/>
      <c r="G29" s="55"/>
      <c r="H29" s="472">
        <f>ROUND((H$27+H30)*'Tabellen PO-Raad'!$D$37,2)</f>
        <v>383.9</v>
      </c>
      <c r="I29" s="324">
        <f>IF(I$20&lt;&gt;"[leeg]",ROUND((I$27+I30)*'Tabellen PO-Raad'!$D$37,2),0)</f>
        <v>383.9</v>
      </c>
      <c r="J29" s="324">
        <f>IF(J$20&lt;&gt;"[leeg]",ROUND((J$27+J30)*'Tabellen PO-Raad'!$D$37,2),0)</f>
        <v>383.9</v>
      </c>
      <c r="K29" s="324">
        <f>IF(K$20&lt;&gt;"[leeg]",ROUND((K$27+K30)*'Tabellen PO-Raad'!$D$37,2),0)</f>
        <v>0</v>
      </c>
      <c r="L29" s="324">
        <f>IF(L$20&lt;&gt;"[leeg]",ROUND((L$27+L30)*'Tabellen PO-Raad'!$D$37,2),0)</f>
        <v>0</v>
      </c>
      <c r="M29" s="324">
        <f>IF(M$20&lt;&gt;"[leeg]",ROUND((M$27+M30)*'Tabellen PO-Raad'!$D$37,2),0)</f>
        <v>0</v>
      </c>
      <c r="N29" s="324">
        <f>IF(N$20&lt;&gt;"[leeg]",ROUND((N$27+N30)*'Tabellen PO-Raad'!$D$37,2),0)</f>
        <v>0</v>
      </c>
      <c r="O29" s="324">
        <f>IF(O$20&lt;&gt;"[leeg]",ROUND((O$27+O30)*'Tabellen PO-Raad'!$D$37,2),0)</f>
        <v>0</v>
      </c>
      <c r="P29" s="324">
        <f>IF(P$20&lt;&gt;"[leeg]",ROUND((P$27+P30)*'Tabellen PO-Raad'!$D$37,2),0)</f>
        <v>0</v>
      </c>
      <c r="Q29" s="324">
        <f>IF(Q$20&lt;&gt;"[leeg]",ROUND((Q$27+Q30)*'Tabellen PO-Raad'!$D$37,2),0)</f>
        <v>0</v>
      </c>
      <c r="R29" s="324">
        <f t="shared" si="21"/>
        <v>383.9</v>
      </c>
      <c r="S29" s="308"/>
      <c r="T29" s="324">
        <f t="shared" si="22"/>
        <v>383.9</v>
      </c>
      <c r="U29" s="324">
        <f t="shared" si="22"/>
        <v>383.9</v>
      </c>
      <c r="V29" s="324">
        <f t="shared" si="23"/>
        <v>383.9</v>
      </c>
      <c r="W29" s="324">
        <f t="shared" si="23"/>
        <v>0</v>
      </c>
      <c r="X29" s="324">
        <f t="shared" si="23"/>
        <v>0</v>
      </c>
      <c r="Y29" s="324">
        <f t="shared" si="23"/>
        <v>0</v>
      </c>
      <c r="Z29" s="324">
        <f t="shared" si="23"/>
        <v>0</v>
      </c>
      <c r="AA29" s="324">
        <f t="shared" si="23"/>
        <v>0</v>
      </c>
      <c r="AB29" s="324">
        <f t="shared" si="23"/>
        <v>0</v>
      </c>
      <c r="AC29" s="324">
        <f t="shared" si="23"/>
        <v>0</v>
      </c>
      <c r="AD29" s="324">
        <f t="shared" si="16"/>
        <v>383.9</v>
      </c>
      <c r="AE29" s="308"/>
      <c r="AF29" s="324">
        <f>+H29*12</f>
        <v>4606.7999999999993</v>
      </c>
      <c r="AG29" s="324">
        <f t="shared" si="24"/>
        <v>4606.7999999999993</v>
      </c>
      <c r="AH29" s="324">
        <f t="shared" si="24"/>
        <v>4606.7999999999993</v>
      </c>
      <c r="AI29" s="324">
        <f t="shared" si="24"/>
        <v>0</v>
      </c>
      <c r="AJ29" s="324">
        <f t="shared" si="24"/>
        <v>0</v>
      </c>
      <c r="AK29" s="324">
        <f t="shared" si="24"/>
        <v>0</v>
      </c>
      <c r="AL29" s="324">
        <f t="shared" si="24"/>
        <v>0</v>
      </c>
      <c r="AM29" s="324">
        <f t="shared" si="24"/>
        <v>0</v>
      </c>
      <c r="AN29" s="324">
        <f t="shared" si="24"/>
        <v>0</v>
      </c>
      <c r="AO29" s="324">
        <f t="shared" si="24"/>
        <v>0</v>
      </c>
      <c r="AP29" s="324">
        <f t="shared" si="18"/>
        <v>4606.7999999999993</v>
      </c>
      <c r="AQ29" s="308"/>
      <c r="AR29" s="330">
        <f t="shared" si="25"/>
        <v>4606.7999999999993</v>
      </c>
      <c r="AS29" s="324">
        <f t="shared" ref="AS29:AS32" si="35">+U29*12</f>
        <v>4606.7999999999993</v>
      </c>
      <c r="AT29" s="324">
        <f t="shared" ref="AT29:AT32" si="36">+V29*12</f>
        <v>4606.7999999999993</v>
      </c>
      <c r="AU29" s="324">
        <f t="shared" ref="AU29:AU32" si="37">+W29*12</f>
        <v>0</v>
      </c>
      <c r="AV29" s="324">
        <f t="shared" ref="AV29:AV32" si="38">+X29*12</f>
        <v>0</v>
      </c>
      <c r="AW29" s="324">
        <f t="shared" ref="AW29:AW32" si="39">+Y29*12</f>
        <v>0</v>
      </c>
      <c r="AX29" s="324">
        <f t="shared" ref="AX29:AX32" si="40">+Z29*12</f>
        <v>0</v>
      </c>
      <c r="AY29" s="324">
        <f t="shared" ref="AY29:AY32" si="41">+AA29*12</f>
        <v>0</v>
      </c>
      <c r="AZ29" s="324">
        <f t="shared" ref="AZ29:AZ32" si="42">+AB29*12</f>
        <v>0</v>
      </c>
      <c r="BA29" s="324">
        <f t="shared" ref="BA29:BA32" si="43">+AC29*12</f>
        <v>0</v>
      </c>
      <c r="BB29" s="324">
        <f t="shared" si="20"/>
        <v>4606.7999999999993</v>
      </c>
      <c r="BC29" s="11"/>
      <c r="BF29" s="33"/>
      <c r="BG29" s="33"/>
      <c r="BH29" s="33"/>
    </row>
    <row r="30" spans="2:60" s="16" customFormat="1" ht="12.95" customHeight="1" thickTop="1" thickBot="1" x14ac:dyDescent="0.25">
      <c r="B30" s="11"/>
      <c r="C30" s="26" t="s">
        <v>57</v>
      </c>
      <c r="D30" s="26"/>
      <c r="E30" s="17"/>
      <c r="F30" s="31" t="str">
        <f>VLOOKUP(H$22,Saltab2023,23,FALSE)</f>
        <v>OP</v>
      </c>
      <c r="G30" s="31" t="str">
        <f>IF(F30="OP",IF('Invoer gegevens'!$E$33="ja","ja","nee"),"nee")</f>
        <v>ja</v>
      </c>
      <c r="H30" s="472">
        <f>IF($G30="nee",0,(VLOOKUP(H22,'Tabellen PO-Raad'!$B$26:$C$29,2,FALSE)))</f>
        <v>35.68</v>
      </c>
      <c r="I30" s="324">
        <f>IF(I$20&lt;&gt;"[leeg]",IF($G30="nee",0,(VLOOKUP(I22,'Tabellen PO-Raad'!$B$26:$C$29,2,FALSE))),0)</f>
        <v>35.68</v>
      </c>
      <c r="J30" s="324">
        <f>IF(J$20&lt;&gt;"[leeg]",IF($G30="nee",0,(VLOOKUP(J22,'Tabellen PO-Raad'!$B$26:$C$29,2,FALSE))),0)</f>
        <v>35.68</v>
      </c>
      <c r="K30" s="324">
        <f>IF(K$20&lt;&gt;"[leeg]",IF($G30="nee",0,(VLOOKUP(K22,'Tabellen PO-Raad'!$B$26:$C$29,2,FALSE))),0)</f>
        <v>0</v>
      </c>
      <c r="L30" s="324">
        <f>IF(L$20&lt;&gt;"[leeg]",IF($G30="nee",0,(VLOOKUP(L22,'Tabellen PO-Raad'!$B$26:$C$29,2,FALSE))),0)</f>
        <v>0</v>
      </c>
      <c r="M30" s="324">
        <f>IF(M$20&lt;&gt;"[leeg]",IF($G30="nee",0,(VLOOKUP(M22,'Tabellen PO-Raad'!$B$26:$C$29,2,FALSE))),0)</f>
        <v>0</v>
      </c>
      <c r="N30" s="324">
        <f>IF(N$20&lt;&gt;"[leeg]",IF($G30="nee",0,(VLOOKUP(N22,'Tabellen PO-Raad'!$B$26:$C$29,2,FALSE))),0)</f>
        <v>0</v>
      </c>
      <c r="O30" s="324">
        <f>IF(O$20&lt;&gt;"[leeg]",IF($G30="nee",0,(VLOOKUP(O22,'Tabellen PO-Raad'!$B$26:$C$29,2,FALSE))),0)</f>
        <v>0</v>
      </c>
      <c r="P30" s="324">
        <f>IF(P$20&lt;&gt;"[leeg]",IF($G30="nee",0,(VLOOKUP(P22,'Tabellen PO-Raad'!$B$26:$C$29,2,FALSE))),0)</f>
        <v>0</v>
      </c>
      <c r="Q30" s="324">
        <f>IF(Q$20&lt;&gt;"[leeg]",IF($G30="nee",0,(VLOOKUP(Q22,'Tabellen PO-Raad'!$B$26:$C$29,2,FALSE))),0)</f>
        <v>0</v>
      </c>
      <c r="R30" s="324">
        <f t="shared" si="21"/>
        <v>35.68</v>
      </c>
      <c r="S30" s="308"/>
      <c r="T30" s="324">
        <f t="shared" si="22"/>
        <v>35.68</v>
      </c>
      <c r="U30" s="324">
        <f t="shared" si="22"/>
        <v>35.68</v>
      </c>
      <c r="V30" s="324">
        <f t="shared" si="23"/>
        <v>35.68</v>
      </c>
      <c r="W30" s="324">
        <f t="shared" si="23"/>
        <v>0</v>
      </c>
      <c r="X30" s="324">
        <f t="shared" si="23"/>
        <v>0</v>
      </c>
      <c r="Y30" s="324">
        <f t="shared" si="23"/>
        <v>0</v>
      </c>
      <c r="Z30" s="324">
        <f t="shared" si="23"/>
        <v>0</v>
      </c>
      <c r="AA30" s="324">
        <f t="shared" si="23"/>
        <v>0</v>
      </c>
      <c r="AB30" s="324">
        <f t="shared" si="23"/>
        <v>0</v>
      </c>
      <c r="AC30" s="324">
        <f t="shared" si="23"/>
        <v>0</v>
      </c>
      <c r="AD30" s="324">
        <f t="shared" si="16"/>
        <v>35.68</v>
      </c>
      <c r="AE30" s="308"/>
      <c r="AF30" s="324">
        <f>+H30*12</f>
        <v>428.15999999999997</v>
      </c>
      <c r="AG30" s="324">
        <f t="shared" si="24"/>
        <v>428.15999999999997</v>
      </c>
      <c r="AH30" s="324">
        <f t="shared" si="24"/>
        <v>428.15999999999997</v>
      </c>
      <c r="AI30" s="324">
        <f t="shared" si="24"/>
        <v>0</v>
      </c>
      <c r="AJ30" s="324">
        <f t="shared" si="24"/>
        <v>0</v>
      </c>
      <c r="AK30" s="324">
        <f t="shared" si="24"/>
        <v>0</v>
      </c>
      <c r="AL30" s="324">
        <f t="shared" si="24"/>
        <v>0</v>
      </c>
      <c r="AM30" s="324">
        <f t="shared" si="24"/>
        <v>0</v>
      </c>
      <c r="AN30" s="324">
        <f t="shared" si="24"/>
        <v>0</v>
      </c>
      <c r="AO30" s="324">
        <f t="shared" si="24"/>
        <v>0</v>
      </c>
      <c r="AP30" s="324">
        <f t="shared" si="18"/>
        <v>428.15999999999997</v>
      </c>
      <c r="AQ30" s="308"/>
      <c r="AR30" s="330">
        <f t="shared" si="25"/>
        <v>428.15999999999997</v>
      </c>
      <c r="AS30" s="324">
        <f t="shared" si="35"/>
        <v>428.15999999999997</v>
      </c>
      <c r="AT30" s="324">
        <f t="shared" si="36"/>
        <v>428.15999999999997</v>
      </c>
      <c r="AU30" s="324">
        <f t="shared" si="37"/>
        <v>0</v>
      </c>
      <c r="AV30" s="324">
        <f t="shared" si="38"/>
        <v>0</v>
      </c>
      <c r="AW30" s="324">
        <f t="shared" si="39"/>
        <v>0</v>
      </c>
      <c r="AX30" s="324">
        <f t="shared" si="40"/>
        <v>0</v>
      </c>
      <c r="AY30" s="324">
        <f t="shared" si="41"/>
        <v>0</v>
      </c>
      <c r="AZ30" s="324">
        <f t="shared" si="42"/>
        <v>0</v>
      </c>
      <c r="BA30" s="324">
        <f t="shared" si="43"/>
        <v>0</v>
      </c>
      <c r="BB30" s="324">
        <f t="shared" si="20"/>
        <v>428.15999999999997</v>
      </c>
      <c r="BC30" s="11"/>
      <c r="BF30" s="33"/>
      <c r="BG30" s="33"/>
      <c r="BH30" s="33"/>
    </row>
    <row r="31" spans="2:60" s="16" customFormat="1" ht="12.95" customHeight="1" thickTop="1" thickBot="1" x14ac:dyDescent="0.25">
      <c r="B31" s="11"/>
      <c r="C31" s="26" t="s">
        <v>333</v>
      </c>
      <c r="D31" s="26"/>
      <c r="E31" s="17"/>
      <c r="F31" s="31" t="str">
        <f>VLOOKUP(H$22,Saltab2023,23,FALSE)</f>
        <v>OP</v>
      </c>
      <c r="G31" s="31" t="str">
        <f>IF(F31="DIR","ja","nee")</f>
        <v>nee</v>
      </c>
      <c r="H31" s="472">
        <f>ROUND(IF($G31="ja",VLOOKUP(H22,Arbeidsmarkttoelage2023,2)*IF(H$25&gt;1,1,H$25),0),2)</f>
        <v>0</v>
      </c>
      <c r="I31" s="324">
        <f t="shared" ref="I31:Q31" si="44">IF(I$20&lt;&gt;"[leeg]",ROUND(IF($G31="ja",VLOOKUP(I22,Arbeidsmarkttoelage2023,2)*IF(H$25&gt;1,1,H$25),0),2),0)</f>
        <v>0</v>
      </c>
      <c r="J31" s="324">
        <f t="shared" si="44"/>
        <v>0</v>
      </c>
      <c r="K31" s="324">
        <f t="shared" si="44"/>
        <v>0</v>
      </c>
      <c r="L31" s="324">
        <f t="shared" si="44"/>
        <v>0</v>
      </c>
      <c r="M31" s="324">
        <f t="shared" si="44"/>
        <v>0</v>
      </c>
      <c r="N31" s="324">
        <f t="shared" si="44"/>
        <v>0</v>
      </c>
      <c r="O31" s="324">
        <f t="shared" si="44"/>
        <v>0</v>
      </c>
      <c r="P31" s="324">
        <f t="shared" si="44"/>
        <v>0</v>
      </c>
      <c r="Q31" s="324">
        <f t="shared" si="44"/>
        <v>0</v>
      </c>
      <c r="R31" s="324">
        <f t="shared" si="21"/>
        <v>0</v>
      </c>
      <c r="S31" s="308"/>
      <c r="T31" s="324">
        <f t="shared" si="22"/>
        <v>0</v>
      </c>
      <c r="U31" s="324">
        <f t="shared" si="22"/>
        <v>0</v>
      </c>
      <c r="V31" s="324">
        <f t="shared" si="23"/>
        <v>0</v>
      </c>
      <c r="W31" s="324">
        <f t="shared" si="23"/>
        <v>0</v>
      </c>
      <c r="X31" s="324">
        <f t="shared" si="23"/>
        <v>0</v>
      </c>
      <c r="Y31" s="324">
        <f t="shared" si="23"/>
        <v>0</v>
      </c>
      <c r="Z31" s="324">
        <f t="shared" si="23"/>
        <v>0</v>
      </c>
      <c r="AA31" s="324">
        <f t="shared" si="23"/>
        <v>0</v>
      </c>
      <c r="AB31" s="324">
        <f t="shared" si="23"/>
        <v>0</v>
      </c>
      <c r="AC31" s="324">
        <f t="shared" si="23"/>
        <v>0</v>
      </c>
      <c r="AD31" s="324">
        <f t="shared" si="16"/>
        <v>0</v>
      </c>
      <c r="AE31" s="308"/>
      <c r="AF31" s="324">
        <f t="shared" ref="AF31:AF33" si="45">+H31*12</f>
        <v>0</v>
      </c>
      <c r="AG31" s="324">
        <f t="shared" si="24"/>
        <v>0</v>
      </c>
      <c r="AH31" s="324">
        <f t="shared" si="24"/>
        <v>0</v>
      </c>
      <c r="AI31" s="324">
        <f t="shared" si="24"/>
        <v>0</v>
      </c>
      <c r="AJ31" s="324">
        <f t="shared" si="24"/>
        <v>0</v>
      </c>
      <c r="AK31" s="324">
        <f t="shared" si="24"/>
        <v>0</v>
      </c>
      <c r="AL31" s="324">
        <f t="shared" si="24"/>
        <v>0</v>
      </c>
      <c r="AM31" s="324">
        <f t="shared" si="24"/>
        <v>0</v>
      </c>
      <c r="AN31" s="324">
        <f t="shared" si="24"/>
        <v>0</v>
      </c>
      <c r="AO31" s="324">
        <f t="shared" si="24"/>
        <v>0</v>
      </c>
      <c r="AP31" s="324">
        <f t="shared" si="18"/>
        <v>0</v>
      </c>
      <c r="AQ31" s="308"/>
      <c r="AR31" s="330">
        <f t="shared" si="25"/>
        <v>0</v>
      </c>
      <c r="AS31" s="324">
        <f t="shared" si="35"/>
        <v>0</v>
      </c>
      <c r="AT31" s="324">
        <f t="shared" si="36"/>
        <v>0</v>
      </c>
      <c r="AU31" s="324">
        <f t="shared" si="37"/>
        <v>0</v>
      </c>
      <c r="AV31" s="324">
        <f t="shared" si="38"/>
        <v>0</v>
      </c>
      <c r="AW31" s="324">
        <f t="shared" si="39"/>
        <v>0</v>
      </c>
      <c r="AX31" s="324">
        <f t="shared" si="40"/>
        <v>0</v>
      </c>
      <c r="AY31" s="324">
        <f t="shared" si="41"/>
        <v>0</v>
      </c>
      <c r="AZ31" s="324">
        <f t="shared" si="42"/>
        <v>0</v>
      </c>
      <c r="BA31" s="324">
        <f t="shared" si="43"/>
        <v>0</v>
      </c>
      <c r="BB31" s="324">
        <f t="shared" si="20"/>
        <v>0</v>
      </c>
      <c r="BC31" s="11"/>
      <c r="BF31" s="33"/>
      <c r="BG31" s="33"/>
      <c r="BH31" s="33"/>
    </row>
    <row r="32" spans="2:60" s="16" customFormat="1" ht="12.95" customHeight="1" thickTop="1" thickBot="1" x14ac:dyDescent="0.25">
      <c r="B32" s="11"/>
      <c r="C32" s="26" t="s">
        <v>34</v>
      </c>
      <c r="D32" s="26"/>
      <c r="E32" s="17"/>
      <c r="F32" s="31">
        <f>IF(AF22=100,H22,0)</f>
        <v>0</v>
      </c>
      <c r="G32" s="31" t="str">
        <f>IF(F31="OOP","ja","nee")</f>
        <v>nee</v>
      </c>
      <c r="H32" s="472">
        <f>ROUND(IF($G32="ja",IF($H22&lt;9,'Tabellen PO-Raad'!$D$38,'Tabellen PO-Raad'!$D$39)*IF(H$25&gt;1,1,H$25),0),2)</f>
        <v>0</v>
      </c>
      <c r="I32" s="324">
        <f>IF(I$20&lt;&gt;"[leeg]",ROUND(IF($G32="ja",IF($I22&lt;9,'Tabellen PO-Raad'!$D$38,'Tabellen PO-Raad'!$D$39)*IF(H$25&gt;1,1,H$25),0),2),0)</f>
        <v>0</v>
      </c>
      <c r="J32" s="324">
        <f>IF(J$20&lt;&gt;"[leeg]",ROUND(IF($G32="ja",IF($I22&lt;9,'Tabellen PO-Raad'!$D$38,'Tabellen PO-Raad'!$D$39)*IF(I$25&gt;1,1,I$25),0),2),0)</f>
        <v>0</v>
      </c>
      <c r="K32" s="324">
        <f>IF(K$20&lt;&gt;"[leeg]",ROUND(IF($G32="ja",IF($I22&lt;9,'Tabellen PO-Raad'!$D$38,'Tabellen PO-Raad'!$D$39)*IF(J$25&gt;1,1,J$25),0),2),0)</f>
        <v>0</v>
      </c>
      <c r="L32" s="324">
        <f>IF(L$20&lt;&gt;"[leeg]",ROUND(IF($G32="ja",IF($I22&lt;9,'Tabellen PO-Raad'!$D$38,'Tabellen PO-Raad'!$D$39)*IF(K$25&gt;1,1,K$25),0),2),0)</f>
        <v>0</v>
      </c>
      <c r="M32" s="324">
        <f>IF(M$20&lt;&gt;"[leeg]",ROUND(IF($G32="ja",IF($I22&lt;9,'Tabellen PO-Raad'!$D$38,'Tabellen PO-Raad'!$D$39)*IF(L$25&gt;1,1,L$25),0),2),0)</f>
        <v>0</v>
      </c>
      <c r="N32" s="324">
        <f>IF(N$20&lt;&gt;"[leeg]",ROUND(IF($G32="ja",IF($I22&lt;9,'Tabellen PO-Raad'!$D$38,'Tabellen PO-Raad'!$D$39)*IF(M$25&gt;1,1,M$25),0),2),0)</f>
        <v>0</v>
      </c>
      <c r="O32" s="324">
        <f>IF(O$20&lt;&gt;"[leeg]",ROUND(IF($G32="ja",IF($I22&lt;9,'Tabellen PO-Raad'!$D$38,'Tabellen PO-Raad'!$D$39)*IF(N$25&gt;1,1,N$25),0),2),0)</f>
        <v>0</v>
      </c>
      <c r="P32" s="324">
        <f>IF(P$20&lt;&gt;"[leeg]",ROUND(IF($G32="ja",IF($I22&lt;9,'Tabellen PO-Raad'!$D$38,'Tabellen PO-Raad'!$D$39)*IF(O$25&gt;1,1,O$25),0),2),0)</f>
        <v>0</v>
      </c>
      <c r="Q32" s="324">
        <f>IF(Q$20&lt;&gt;"[leeg]",ROUND(IF($G32="ja",IF($I22&lt;9,'Tabellen PO-Raad'!$D$38,'Tabellen PO-Raad'!$D$39)*IF(P$25&gt;1,1,P$25),0),2),0)</f>
        <v>0</v>
      </c>
      <c r="R32" s="324">
        <f t="shared" si="21"/>
        <v>0</v>
      </c>
      <c r="S32" s="308"/>
      <c r="T32" s="324">
        <f t="shared" si="22"/>
        <v>0</v>
      </c>
      <c r="U32" s="324">
        <f t="shared" si="22"/>
        <v>0</v>
      </c>
      <c r="V32" s="324">
        <f t="shared" si="23"/>
        <v>0</v>
      </c>
      <c r="W32" s="324">
        <f t="shared" si="23"/>
        <v>0</v>
      </c>
      <c r="X32" s="324">
        <f t="shared" si="23"/>
        <v>0</v>
      </c>
      <c r="Y32" s="324">
        <f t="shared" si="23"/>
        <v>0</v>
      </c>
      <c r="Z32" s="324">
        <f t="shared" si="23"/>
        <v>0</v>
      </c>
      <c r="AA32" s="324">
        <f t="shared" si="23"/>
        <v>0</v>
      </c>
      <c r="AB32" s="324">
        <f t="shared" si="23"/>
        <v>0</v>
      </c>
      <c r="AC32" s="324">
        <f t="shared" si="23"/>
        <v>0</v>
      </c>
      <c r="AD32" s="324">
        <f t="shared" si="16"/>
        <v>0</v>
      </c>
      <c r="AE32" s="308"/>
      <c r="AF32" s="324">
        <f t="shared" si="45"/>
        <v>0</v>
      </c>
      <c r="AG32" s="324">
        <f t="shared" si="24"/>
        <v>0</v>
      </c>
      <c r="AH32" s="324">
        <f t="shared" si="24"/>
        <v>0</v>
      </c>
      <c r="AI32" s="324">
        <f t="shared" si="24"/>
        <v>0</v>
      </c>
      <c r="AJ32" s="324">
        <f t="shared" si="24"/>
        <v>0</v>
      </c>
      <c r="AK32" s="324">
        <f t="shared" si="24"/>
        <v>0</v>
      </c>
      <c r="AL32" s="324">
        <f t="shared" si="24"/>
        <v>0</v>
      </c>
      <c r="AM32" s="324">
        <f t="shared" si="24"/>
        <v>0</v>
      </c>
      <c r="AN32" s="324">
        <f t="shared" si="24"/>
        <v>0</v>
      </c>
      <c r="AO32" s="324">
        <f t="shared" si="24"/>
        <v>0</v>
      </c>
      <c r="AP32" s="324">
        <f t="shared" si="18"/>
        <v>0</v>
      </c>
      <c r="AQ32" s="308"/>
      <c r="AR32" s="330">
        <f t="shared" si="25"/>
        <v>0</v>
      </c>
      <c r="AS32" s="324">
        <f t="shared" si="35"/>
        <v>0</v>
      </c>
      <c r="AT32" s="324">
        <f t="shared" si="36"/>
        <v>0</v>
      </c>
      <c r="AU32" s="324">
        <f t="shared" si="37"/>
        <v>0</v>
      </c>
      <c r="AV32" s="324">
        <f t="shared" si="38"/>
        <v>0</v>
      </c>
      <c r="AW32" s="324">
        <f t="shared" si="39"/>
        <v>0</v>
      </c>
      <c r="AX32" s="324">
        <f t="shared" si="40"/>
        <v>0</v>
      </c>
      <c r="AY32" s="324">
        <f t="shared" si="41"/>
        <v>0</v>
      </c>
      <c r="AZ32" s="324">
        <f t="shared" si="42"/>
        <v>0</v>
      </c>
      <c r="BA32" s="324">
        <f t="shared" si="43"/>
        <v>0</v>
      </c>
      <c r="BB32" s="324">
        <f t="shared" si="20"/>
        <v>0</v>
      </c>
      <c r="BC32" s="11"/>
      <c r="BF32" s="33"/>
      <c r="BG32" s="33"/>
      <c r="BH32" s="33"/>
    </row>
    <row r="33" spans="1:60" s="16" customFormat="1" ht="12.95" customHeight="1" thickTop="1" thickBot="1" x14ac:dyDescent="0.25">
      <c r="B33" s="11"/>
      <c r="C33" s="26" t="s">
        <v>334</v>
      </c>
      <c r="D33" s="26"/>
      <c r="E33" s="17"/>
      <c r="F33" s="465" t="str">
        <f>H22&amp;H23</f>
        <v>LB12</v>
      </c>
      <c r="G33" s="30">
        <f>VLOOKUP(F33,Bindingstoelage2023,2,FALSE)</f>
        <v>132.59</v>
      </c>
      <c r="H33" s="472">
        <f>_xlfn.IFNA($G33,0)</f>
        <v>132.59</v>
      </c>
      <c r="I33" s="324">
        <f>IF(I$20&lt;&gt;"[leeg]",_xlfn.IFNA($G33,0),0)</f>
        <v>132.59</v>
      </c>
      <c r="J33" s="324">
        <f t="shared" ref="J33:Q33" si="46">IF(J$20&lt;&gt;"[leeg]",_xlfn.IFNA($G33,0),0)</f>
        <v>132.59</v>
      </c>
      <c r="K33" s="324">
        <f t="shared" si="46"/>
        <v>0</v>
      </c>
      <c r="L33" s="324">
        <f t="shared" si="46"/>
        <v>0</v>
      </c>
      <c r="M33" s="324">
        <f t="shared" si="46"/>
        <v>0</v>
      </c>
      <c r="N33" s="324">
        <f t="shared" si="46"/>
        <v>0</v>
      </c>
      <c r="O33" s="324">
        <f t="shared" si="46"/>
        <v>0</v>
      </c>
      <c r="P33" s="324">
        <f t="shared" si="46"/>
        <v>0</v>
      </c>
      <c r="Q33" s="324">
        <f t="shared" si="46"/>
        <v>0</v>
      </c>
      <c r="R33" s="324">
        <f t="shared" si="21"/>
        <v>132.59</v>
      </c>
      <c r="S33" s="308"/>
      <c r="T33" s="324">
        <f t="shared" si="22"/>
        <v>132.59</v>
      </c>
      <c r="U33" s="324">
        <f t="shared" si="22"/>
        <v>132.59</v>
      </c>
      <c r="V33" s="324">
        <f t="shared" si="23"/>
        <v>132.59</v>
      </c>
      <c r="W33" s="324">
        <f t="shared" si="23"/>
        <v>0</v>
      </c>
      <c r="X33" s="324">
        <f t="shared" si="23"/>
        <v>0</v>
      </c>
      <c r="Y33" s="324">
        <f t="shared" si="23"/>
        <v>0</v>
      </c>
      <c r="Z33" s="324">
        <f t="shared" si="23"/>
        <v>0</v>
      </c>
      <c r="AA33" s="324">
        <f t="shared" si="23"/>
        <v>0</v>
      </c>
      <c r="AB33" s="324">
        <f t="shared" si="23"/>
        <v>0</v>
      </c>
      <c r="AC33" s="324">
        <f t="shared" si="23"/>
        <v>0</v>
      </c>
      <c r="AD33" s="324">
        <f t="shared" si="16"/>
        <v>132.59</v>
      </c>
      <c r="AE33" s="308"/>
      <c r="AF33" s="324">
        <f t="shared" si="45"/>
        <v>1591.08</v>
      </c>
      <c r="AG33" s="324">
        <f t="shared" si="24"/>
        <v>1591.08</v>
      </c>
      <c r="AH33" s="324">
        <f t="shared" si="24"/>
        <v>1591.08</v>
      </c>
      <c r="AI33" s="324">
        <f t="shared" si="24"/>
        <v>0</v>
      </c>
      <c r="AJ33" s="324">
        <f t="shared" si="24"/>
        <v>0</v>
      </c>
      <c r="AK33" s="324">
        <f t="shared" si="24"/>
        <v>0</v>
      </c>
      <c r="AL33" s="324">
        <f t="shared" si="24"/>
        <v>0</v>
      </c>
      <c r="AM33" s="324">
        <f t="shared" si="24"/>
        <v>0</v>
      </c>
      <c r="AN33" s="324">
        <f t="shared" si="24"/>
        <v>0</v>
      </c>
      <c r="AO33" s="324">
        <f t="shared" si="24"/>
        <v>0</v>
      </c>
      <c r="AP33" s="324">
        <f t="shared" si="18"/>
        <v>1591.08</v>
      </c>
      <c r="AQ33" s="308"/>
      <c r="AR33" s="330">
        <f t="shared" si="25"/>
        <v>1591.08</v>
      </c>
      <c r="AS33" s="324">
        <f t="shared" ref="AS33" si="47">AG33</f>
        <v>1591.08</v>
      </c>
      <c r="AT33" s="324">
        <f t="shared" ref="AT33" si="48">AH33</f>
        <v>1591.08</v>
      </c>
      <c r="AU33" s="324">
        <f t="shared" ref="AU33" si="49">AI33</f>
        <v>0</v>
      </c>
      <c r="AV33" s="324">
        <f t="shared" ref="AV33" si="50">AJ33</f>
        <v>0</v>
      </c>
      <c r="AW33" s="324">
        <f t="shared" ref="AW33" si="51">AK33</f>
        <v>0</v>
      </c>
      <c r="AX33" s="324">
        <f t="shared" ref="AX33" si="52">AL33</f>
        <v>0</v>
      </c>
      <c r="AY33" s="324">
        <f t="shared" ref="AY33" si="53">AM33</f>
        <v>0</v>
      </c>
      <c r="AZ33" s="324">
        <f t="shared" ref="AZ33" si="54">AN33</f>
        <v>0</v>
      </c>
      <c r="BA33" s="324">
        <f t="shared" ref="BA33" si="55">AO33</f>
        <v>0</v>
      </c>
      <c r="BB33" s="324">
        <f t="shared" si="20"/>
        <v>1591.08</v>
      </c>
      <c r="BC33" s="11"/>
      <c r="BF33" s="33"/>
      <c r="BG33" s="33"/>
      <c r="BH33" s="33"/>
    </row>
    <row r="34" spans="1:60" s="16" customFormat="1" ht="12.95" customHeight="1" collapsed="1" thickTop="1" thickBot="1" x14ac:dyDescent="0.25">
      <c r="B34" s="11"/>
      <c r="C34" s="28" t="s">
        <v>101</v>
      </c>
      <c r="D34" s="28"/>
      <c r="E34" s="90"/>
      <c r="F34" s="29"/>
      <c r="G34" s="44"/>
      <c r="H34" s="471">
        <f t="shared" ref="H34:Q34" si="56">SUM(H28:H33)</f>
        <v>920.8599999999999</v>
      </c>
      <c r="I34" s="330">
        <f t="shared" si="56"/>
        <v>920.8599999999999</v>
      </c>
      <c r="J34" s="330">
        <f t="shared" si="56"/>
        <v>920.8599999999999</v>
      </c>
      <c r="K34" s="330">
        <f t="shared" si="56"/>
        <v>0</v>
      </c>
      <c r="L34" s="330">
        <f t="shared" si="56"/>
        <v>0</v>
      </c>
      <c r="M34" s="330">
        <f t="shared" si="56"/>
        <v>0</v>
      </c>
      <c r="N34" s="330">
        <f t="shared" si="56"/>
        <v>0</v>
      </c>
      <c r="O34" s="330">
        <f t="shared" si="56"/>
        <v>0</v>
      </c>
      <c r="P34" s="330">
        <f t="shared" si="56"/>
        <v>0</v>
      </c>
      <c r="Q34" s="330">
        <f t="shared" si="56"/>
        <v>0</v>
      </c>
      <c r="R34" s="330">
        <f t="shared" si="21"/>
        <v>920.8599999999999</v>
      </c>
      <c r="S34" s="308"/>
      <c r="T34" s="330">
        <f t="shared" ref="T34:AC34" si="57">SUM(T28:T33)</f>
        <v>920.8599999999999</v>
      </c>
      <c r="U34" s="330">
        <f t="shared" si="57"/>
        <v>920.8599999999999</v>
      </c>
      <c r="V34" s="330">
        <f t="shared" si="57"/>
        <v>920.8599999999999</v>
      </c>
      <c r="W34" s="330">
        <f t="shared" si="57"/>
        <v>0</v>
      </c>
      <c r="X34" s="330">
        <f t="shared" si="57"/>
        <v>0</v>
      </c>
      <c r="Y34" s="330">
        <f t="shared" si="57"/>
        <v>0</v>
      </c>
      <c r="Z34" s="330">
        <f t="shared" si="57"/>
        <v>0</v>
      </c>
      <c r="AA34" s="330">
        <f t="shared" si="57"/>
        <v>0</v>
      </c>
      <c r="AB34" s="330">
        <f t="shared" si="57"/>
        <v>0</v>
      </c>
      <c r="AC34" s="330">
        <f t="shared" si="57"/>
        <v>0</v>
      </c>
      <c r="AD34" s="330">
        <f t="shared" si="16"/>
        <v>920.8599999999999</v>
      </c>
      <c r="AE34" s="308"/>
      <c r="AF34" s="330">
        <f>SUM(AF28:AF33)</f>
        <v>11050.319999999998</v>
      </c>
      <c r="AG34" s="330">
        <f t="shared" ref="AG34:AO34" si="58">SUM(AG28:AG33)</f>
        <v>11050.319999999998</v>
      </c>
      <c r="AH34" s="330">
        <f t="shared" si="58"/>
        <v>11050.319999999998</v>
      </c>
      <c r="AI34" s="330">
        <f t="shared" si="58"/>
        <v>0</v>
      </c>
      <c r="AJ34" s="330">
        <f t="shared" si="58"/>
        <v>0</v>
      </c>
      <c r="AK34" s="330">
        <f t="shared" si="58"/>
        <v>0</v>
      </c>
      <c r="AL34" s="330">
        <f t="shared" si="58"/>
        <v>0</v>
      </c>
      <c r="AM34" s="330">
        <f t="shared" si="58"/>
        <v>0</v>
      </c>
      <c r="AN34" s="330">
        <f t="shared" si="58"/>
        <v>0</v>
      </c>
      <c r="AO34" s="330">
        <f t="shared" si="58"/>
        <v>0</v>
      </c>
      <c r="AP34" s="330">
        <f t="shared" si="18"/>
        <v>11050.319999999998</v>
      </c>
      <c r="AQ34" s="308"/>
      <c r="AR34" s="330">
        <f t="shared" ref="AR34:BA34" si="59">SUM(AR28:AR33)</f>
        <v>11050.319999999998</v>
      </c>
      <c r="AS34" s="330">
        <f t="shared" si="59"/>
        <v>11050.319999999998</v>
      </c>
      <c r="AT34" s="330">
        <f t="shared" si="59"/>
        <v>11050.319999999998</v>
      </c>
      <c r="AU34" s="330">
        <f t="shared" si="59"/>
        <v>0</v>
      </c>
      <c r="AV34" s="330">
        <f t="shared" si="59"/>
        <v>0</v>
      </c>
      <c r="AW34" s="330">
        <f t="shared" si="59"/>
        <v>0</v>
      </c>
      <c r="AX34" s="330">
        <f t="shared" si="59"/>
        <v>0</v>
      </c>
      <c r="AY34" s="330">
        <f t="shared" si="59"/>
        <v>0</v>
      </c>
      <c r="AZ34" s="330">
        <f t="shared" si="59"/>
        <v>0</v>
      </c>
      <c r="BA34" s="330">
        <f t="shared" si="59"/>
        <v>0</v>
      </c>
      <c r="BB34" s="330">
        <f t="shared" si="20"/>
        <v>11050.319999999998</v>
      </c>
      <c r="BC34" s="11"/>
      <c r="BF34" s="33"/>
      <c r="BG34" s="33"/>
      <c r="BH34" s="33"/>
    </row>
    <row r="35" spans="1:60" s="16" customFormat="1" ht="12.95" customHeight="1" thickTop="1" thickBot="1" x14ac:dyDescent="0.25">
      <c r="B35" s="11"/>
      <c r="C35" s="28" t="s">
        <v>143</v>
      </c>
      <c r="D35" s="28"/>
      <c r="E35" s="88"/>
      <c r="F35" s="27"/>
      <c r="G35" s="47"/>
      <c r="H35" s="471">
        <f t="shared" ref="H35:Q35" si="60">H27+H34</f>
        <v>5493.86</v>
      </c>
      <c r="I35" s="330">
        <f t="shared" si="60"/>
        <v>5493.86</v>
      </c>
      <c r="J35" s="330">
        <f t="shared" si="60"/>
        <v>5493.86</v>
      </c>
      <c r="K35" s="330">
        <f t="shared" si="60"/>
        <v>0</v>
      </c>
      <c r="L35" s="330">
        <f t="shared" si="60"/>
        <v>0</v>
      </c>
      <c r="M35" s="330">
        <f t="shared" si="60"/>
        <v>0</v>
      </c>
      <c r="N35" s="330">
        <f t="shared" si="60"/>
        <v>0</v>
      </c>
      <c r="O35" s="330">
        <f t="shared" si="60"/>
        <v>0</v>
      </c>
      <c r="P35" s="330">
        <f t="shared" si="60"/>
        <v>0</v>
      </c>
      <c r="Q35" s="330">
        <f t="shared" si="60"/>
        <v>0</v>
      </c>
      <c r="R35" s="330">
        <f t="shared" si="21"/>
        <v>5493.86</v>
      </c>
      <c r="S35" s="308"/>
      <c r="T35" s="330">
        <f t="shared" ref="T35:AC35" si="61">T27+T34</f>
        <v>5036.5599999999995</v>
      </c>
      <c r="U35" s="330">
        <f t="shared" si="61"/>
        <v>5036.5599999999995</v>
      </c>
      <c r="V35" s="330">
        <f t="shared" si="61"/>
        <v>5036.5599999999995</v>
      </c>
      <c r="W35" s="330">
        <f t="shared" si="61"/>
        <v>0</v>
      </c>
      <c r="X35" s="330">
        <f t="shared" si="61"/>
        <v>0</v>
      </c>
      <c r="Y35" s="330">
        <f t="shared" si="61"/>
        <v>0</v>
      </c>
      <c r="Z35" s="330">
        <f t="shared" si="61"/>
        <v>0</v>
      </c>
      <c r="AA35" s="330">
        <f t="shared" si="61"/>
        <v>0</v>
      </c>
      <c r="AB35" s="330">
        <f t="shared" si="61"/>
        <v>0</v>
      </c>
      <c r="AC35" s="330">
        <f t="shared" si="61"/>
        <v>0</v>
      </c>
      <c r="AD35" s="330">
        <f t="shared" si="16"/>
        <v>5036.5599999999995</v>
      </c>
      <c r="AE35" s="308"/>
      <c r="AF35" s="330">
        <f t="shared" ref="AF35" si="62">AF27+AF34</f>
        <v>65926.319999999992</v>
      </c>
      <c r="AG35" s="330">
        <f t="shared" ref="AG35" si="63">AG27+AG34</f>
        <v>65926.319999999992</v>
      </c>
      <c r="AH35" s="330">
        <f t="shared" ref="AH35" si="64">AH27+AH34</f>
        <v>65926.319999999992</v>
      </c>
      <c r="AI35" s="330">
        <f t="shared" ref="AI35" si="65">AI27+AI34</f>
        <v>0</v>
      </c>
      <c r="AJ35" s="330">
        <f t="shared" ref="AJ35" si="66">AJ27+AJ34</f>
        <v>0</v>
      </c>
      <c r="AK35" s="330">
        <f t="shared" ref="AK35" si="67">AK27+AK34</f>
        <v>0</v>
      </c>
      <c r="AL35" s="330">
        <f t="shared" ref="AL35" si="68">AL27+AL34</f>
        <v>0</v>
      </c>
      <c r="AM35" s="330">
        <f t="shared" ref="AM35" si="69">AM27+AM34</f>
        <v>0</v>
      </c>
      <c r="AN35" s="330">
        <f t="shared" ref="AN35" si="70">AN27+AN34</f>
        <v>0</v>
      </c>
      <c r="AO35" s="330">
        <f t="shared" ref="AO35" si="71">AO27+AO34</f>
        <v>0</v>
      </c>
      <c r="AP35" s="330">
        <f t="shared" si="18"/>
        <v>65926.319999999992</v>
      </c>
      <c r="AQ35" s="308"/>
      <c r="AR35" s="330">
        <f t="shared" ref="AR35:BA35" si="72">AR27+AR34</f>
        <v>60438.719999999994</v>
      </c>
      <c r="AS35" s="330">
        <f t="shared" si="72"/>
        <v>60438.719999999994</v>
      </c>
      <c r="AT35" s="330">
        <f t="shared" si="72"/>
        <v>60438.719999999994</v>
      </c>
      <c r="AU35" s="330">
        <f t="shared" si="72"/>
        <v>0</v>
      </c>
      <c r="AV35" s="330">
        <f t="shared" si="72"/>
        <v>0</v>
      </c>
      <c r="AW35" s="330">
        <f t="shared" si="72"/>
        <v>0</v>
      </c>
      <c r="AX35" s="330">
        <f t="shared" si="72"/>
        <v>0</v>
      </c>
      <c r="AY35" s="330">
        <f t="shared" si="72"/>
        <v>0</v>
      </c>
      <c r="AZ35" s="330">
        <f t="shared" si="72"/>
        <v>0</v>
      </c>
      <c r="BA35" s="330">
        <f t="shared" si="72"/>
        <v>0</v>
      </c>
      <c r="BB35" s="330">
        <f t="shared" si="20"/>
        <v>60438.719999999994</v>
      </c>
      <c r="BC35" s="11"/>
      <c r="BF35" s="33"/>
      <c r="BG35" s="33"/>
      <c r="BH35" s="33"/>
    </row>
    <row r="36" spans="1:60" s="16" customFormat="1" ht="12.95" customHeight="1" thickTop="1" thickBot="1" x14ac:dyDescent="0.25">
      <c r="B36" s="11"/>
      <c r="C36" s="43" t="s">
        <v>15</v>
      </c>
      <c r="D36" s="43"/>
      <c r="E36" s="91"/>
      <c r="F36" s="50"/>
      <c r="G36" s="43"/>
      <c r="H36" s="472">
        <f>AF36/12</f>
        <v>5493.86</v>
      </c>
      <c r="I36" s="324">
        <f>IF(I$20&lt;&gt;"[leeg]",AG36/12,0)</f>
        <v>5493.86</v>
      </c>
      <c r="J36" s="324">
        <f t="shared" ref="J36:Q36" si="73">IF(J$20&lt;&gt;"[leeg]",AH36/12,0)</f>
        <v>5493.86</v>
      </c>
      <c r="K36" s="324">
        <f t="shared" si="73"/>
        <v>0</v>
      </c>
      <c r="L36" s="324">
        <f t="shared" si="73"/>
        <v>0</v>
      </c>
      <c r="M36" s="324">
        <f t="shared" si="73"/>
        <v>0</v>
      </c>
      <c r="N36" s="324">
        <f t="shared" si="73"/>
        <v>0</v>
      </c>
      <c r="O36" s="324">
        <f t="shared" si="73"/>
        <v>0</v>
      </c>
      <c r="P36" s="324">
        <f t="shared" si="73"/>
        <v>0</v>
      </c>
      <c r="Q36" s="324">
        <f t="shared" si="73"/>
        <v>0</v>
      </c>
      <c r="R36" s="324">
        <f t="shared" si="21"/>
        <v>5493.86</v>
      </c>
      <c r="S36" s="308"/>
      <c r="T36" s="324">
        <f>IF(T$20&lt;&gt;"[leeg]",H36,0)</f>
        <v>5493.86</v>
      </c>
      <c r="U36" s="324">
        <f>IF(U$20&lt;&gt;"[leeg]",I36,0)</f>
        <v>5493.86</v>
      </c>
      <c r="V36" s="324">
        <f t="shared" ref="V36:AC36" si="74">IF(V$20&lt;&gt;"[leeg]",J36,0)</f>
        <v>5493.86</v>
      </c>
      <c r="W36" s="324">
        <f t="shared" si="74"/>
        <v>0</v>
      </c>
      <c r="X36" s="324">
        <f t="shared" si="74"/>
        <v>0</v>
      </c>
      <c r="Y36" s="324">
        <f t="shared" si="74"/>
        <v>0</v>
      </c>
      <c r="Z36" s="324">
        <f t="shared" si="74"/>
        <v>0</v>
      </c>
      <c r="AA36" s="324">
        <f t="shared" si="74"/>
        <v>0</v>
      </c>
      <c r="AB36" s="324">
        <f t="shared" si="74"/>
        <v>0</v>
      </c>
      <c r="AC36" s="324">
        <f t="shared" si="74"/>
        <v>0</v>
      </c>
      <c r="AD36" s="324">
        <f t="shared" si="16"/>
        <v>5493.86</v>
      </c>
      <c r="AE36" s="308"/>
      <c r="AF36" s="324">
        <f>AF35</f>
        <v>65926.319999999992</v>
      </c>
      <c r="AG36" s="324">
        <f t="shared" ref="AG36:AO36" si="75">AG35</f>
        <v>65926.319999999992</v>
      </c>
      <c r="AH36" s="324">
        <f t="shared" si="75"/>
        <v>65926.319999999992</v>
      </c>
      <c r="AI36" s="324">
        <f t="shared" si="75"/>
        <v>0</v>
      </c>
      <c r="AJ36" s="324">
        <f t="shared" si="75"/>
        <v>0</v>
      </c>
      <c r="AK36" s="324">
        <f t="shared" si="75"/>
        <v>0</v>
      </c>
      <c r="AL36" s="324">
        <f t="shared" si="75"/>
        <v>0</v>
      </c>
      <c r="AM36" s="324">
        <f t="shared" si="75"/>
        <v>0</v>
      </c>
      <c r="AN36" s="324">
        <f t="shared" si="75"/>
        <v>0</v>
      </c>
      <c r="AO36" s="324">
        <f t="shared" si="75"/>
        <v>0</v>
      </c>
      <c r="AP36" s="324">
        <f t="shared" si="18"/>
        <v>65926.319999999992</v>
      </c>
      <c r="AQ36" s="308"/>
      <c r="AR36" s="324">
        <f>AR35</f>
        <v>60438.719999999994</v>
      </c>
      <c r="AS36" s="324">
        <f t="shared" ref="AS36:BA36" si="76">AS35</f>
        <v>60438.719999999994</v>
      </c>
      <c r="AT36" s="324">
        <f t="shared" si="76"/>
        <v>60438.719999999994</v>
      </c>
      <c r="AU36" s="324">
        <f t="shared" si="76"/>
        <v>0</v>
      </c>
      <c r="AV36" s="324">
        <f t="shared" si="76"/>
        <v>0</v>
      </c>
      <c r="AW36" s="324">
        <f t="shared" si="76"/>
        <v>0</v>
      </c>
      <c r="AX36" s="324">
        <f t="shared" si="76"/>
        <v>0</v>
      </c>
      <c r="AY36" s="324">
        <f t="shared" si="76"/>
        <v>0</v>
      </c>
      <c r="AZ36" s="324">
        <f t="shared" si="76"/>
        <v>0</v>
      </c>
      <c r="BA36" s="324">
        <f t="shared" si="76"/>
        <v>0</v>
      </c>
      <c r="BB36" s="324">
        <f t="shared" si="20"/>
        <v>60438.719999999994</v>
      </c>
      <c r="BC36" s="11"/>
      <c r="BF36" s="33"/>
      <c r="BG36" s="33"/>
      <c r="BH36" s="33"/>
    </row>
    <row r="37" spans="1:60" s="16" customFormat="1" ht="12.95" customHeight="1" collapsed="1" thickTop="1" x14ac:dyDescent="0.2">
      <c r="B37" s="11"/>
      <c r="C37" s="28"/>
      <c r="D37" s="28"/>
      <c r="E37" s="88"/>
      <c r="F37" s="27"/>
      <c r="G37" s="47"/>
      <c r="H37" s="473"/>
      <c r="I37" s="312"/>
      <c r="J37" s="312"/>
      <c r="K37" s="312"/>
      <c r="L37" s="312"/>
      <c r="M37" s="312"/>
      <c r="N37" s="312"/>
      <c r="O37" s="312"/>
      <c r="P37" s="312"/>
      <c r="Q37" s="312"/>
      <c r="R37" s="312"/>
      <c r="S37" s="308"/>
      <c r="T37" s="312"/>
      <c r="U37" s="312"/>
      <c r="V37" s="312"/>
      <c r="W37" s="312"/>
      <c r="X37" s="312"/>
      <c r="Y37" s="312"/>
      <c r="Z37" s="312"/>
      <c r="AA37" s="312"/>
      <c r="AB37" s="312"/>
      <c r="AC37" s="312"/>
      <c r="AD37" s="312"/>
      <c r="AE37" s="308"/>
      <c r="AF37" s="332"/>
      <c r="AG37" s="332"/>
      <c r="AH37" s="332"/>
      <c r="AI37" s="332"/>
      <c r="AJ37" s="332"/>
      <c r="AK37" s="332"/>
      <c r="AL37" s="332"/>
      <c r="AM37" s="332"/>
      <c r="AN37" s="332"/>
      <c r="AO37" s="332"/>
      <c r="AP37" s="332"/>
      <c r="AQ37" s="308"/>
      <c r="AR37" s="332"/>
      <c r="AS37" s="332"/>
      <c r="AT37" s="332"/>
      <c r="AU37" s="332"/>
      <c r="AV37" s="332"/>
      <c r="AW37" s="332"/>
      <c r="AX37" s="332"/>
      <c r="AY37" s="332"/>
      <c r="AZ37" s="332"/>
      <c r="BA37" s="332"/>
      <c r="BB37" s="332"/>
      <c r="BC37" s="11"/>
      <c r="BF37" s="33"/>
      <c r="BG37" s="33"/>
      <c r="BH37" s="33"/>
    </row>
    <row r="38" spans="1:60" s="16" customFormat="1" ht="12.95" customHeight="1" x14ac:dyDescent="0.2">
      <c r="B38" s="26"/>
      <c r="C38" s="43" t="s">
        <v>63</v>
      </c>
      <c r="D38" s="43"/>
      <c r="E38" s="88"/>
      <c r="F38" s="27"/>
      <c r="G38" s="26"/>
      <c r="H38" s="474"/>
      <c r="I38" s="307"/>
      <c r="J38" s="307"/>
      <c r="K38" s="307"/>
      <c r="L38" s="307"/>
      <c r="M38" s="307"/>
      <c r="N38" s="307"/>
      <c r="O38" s="307"/>
      <c r="P38" s="307"/>
      <c r="Q38" s="307"/>
      <c r="R38" s="307"/>
      <c r="S38" s="308"/>
      <c r="T38" s="307"/>
      <c r="U38" s="307"/>
      <c r="V38" s="307"/>
      <c r="W38" s="307"/>
      <c r="X38" s="307"/>
      <c r="Y38" s="307"/>
      <c r="Z38" s="307"/>
      <c r="AA38" s="307"/>
      <c r="AB38" s="307"/>
      <c r="AC38" s="307"/>
      <c r="AD38" s="307"/>
      <c r="AE38" s="308"/>
      <c r="AF38" s="307"/>
      <c r="AG38" s="307"/>
      <c r="AH38" s="307"/>
      <c r="AI38" s="307"/>
      <c r="AJ38" s="307"/>
      <c r="AK38" s="307"/>
      <c r="AL38" s="307"/>
      <c r="AM38" s="307"/>
      <c r="AN38" s="307"/>
      <c r="AO38" s="307"/>
      <c r="AP38" s="307"/>
      <c r="AQ38" s="308"/>
      <c r="AR38" s="307"/>
      <c r="AS38" s="307"/>
      <c r="AT38" s="307"/>
      <c r="AU38" s="307"/>
      <c r="AV38" s="307"/>
      <c r="AW38" s="307"/>
      <c r="AX38" s="307"/>
      <c r="AY38" s="307"/>
      <c r="AZ38" s="307"/>
      <c r="BA38" s="307"/>
      <c r="BB38" s="307"/>
      <c r="BC38" s="11"/>
      <c r="BF38" s="33"/>
      <c r="BG38" s="33"/>
      <c r="BH38" s="33"/>
    </row>
    <row r="39" spans="1:60" s="34" customFormat="1" ht="12.95" customHeight="1" thickBot="1" x14ac:dyDescent="0.25">
      <c r="A39" s="16"/>
      <c r="B39" s="26"/>
      <c r="C39" s="43" t="s">
        <v>61</v>
      </c>
      <c r="D39" s="43"/>
      <c r="E39" s="91"/>
      <c r="F39" s="27"/>
      <c r="G39" s="26"/>
      <c r="H39" s="473"/>
      <c r="I39" s="312"/>
      <c r="J39" s="312"/>
      <c r="K39" s="312"/>
      <c r="L39" s="312"/>
      <c r="M39" s="312"/>
      <c r="N39" s="312"/>
      <c r="O39" s="312"/>
      <c r="P39" s="312"/>
      <c r="Q39" s="312"/>
      <c r="R39" s="312"/>
      <c r="S39" s="308"/>
      <c r="T39" s="312"/>
      <c r="U39" s="312"/>
      <c r="V39" s="312"/>
      <c r="W39" s="312"/>
      <c r="X39" s="312"/>
      <c r="Y39" s="312"/>
      <c r="Z39" s="312"/>
      <c r="AA39" s="312"/>
      <c r="AB39" s="312"/>
      <c r="AC39" s="312"/>
      <c r="AD39" s="312"/>
      <c r="AE39" s="308"/>
      <c r="AF39" s="312"/>
      <c r="AG39" s="312"/>
      <c r="AH39" s="312"/>
      <c r="AI39" s="312"/>
      <c r="AJ39" s="312"/>
      <c r="AK39" s="312"/>
      <c r="AL39" s="312"/>
      <c r="AM39" s="312"/>
      <c r="AN39" s="312"/>
      <c r="AO39" s="312"/>
      <c r="AP39" s="312"/>
      <c r="AQ39" s="308"/>
      <c r="AR39" s="312"/>
      <c r="AS39" s="312"/>
      <c r="AT39" s="312"/>
      <c r="AU39" s="312"/>
      <c r="AV39" s="312"/>
      <c r="AW39" s="312"/>
      <c r="AX39" s="312"/>
      <c r="AY39" s="312"/>
      <c r="AZ39" s="312"/>
      <c r="BA39" s="312"/>
      <c r="BB39" s="312"/>
      <c r="BC39" s="141"/>
      <c r="BF39" s="85"/>
      <c r="BG39" s="85"/>
      <c r="BH39" s="85"/>
    </row>
    <row r="40" spans="1:60" s="34" customFormat="1" ht="12.95" customHeight="1" thickTop="1" thickBot="1" x14ac:dyDescent="0.25">
      <c r="A40" s="16"/>
      <c r="B40" s="26"/>
      <c r="C40" s="26" t="s">
        <v>9</v>
      </c>
      <c r="D40" s="26"/>
      <c r="E40" s="17"/>
      <c r="F40" s="27"/>
      <c r="G40" s="26"/>
      <c r="H40" s="475">
        <f>IF(AF$36/H$25&lt;'Tabellen PO-Raad'!$C$9,0,(AF$36-'Tabellen PO-Raad'!$E$9*H$25)/12)*'Tabellen PO-Raad'!$C$9</f>
        <v>806.85460799999998</v>
      </c>
      <c r="I40" s="333">
        <f>IF(I$20&lt;&gt;"[leeg]",IF(AG$36/I$25&lt;'Tabellen PO-Raad'!$C$9,0,(AG$36-'Tabellen PO-Raad'!$E$9*I$25)/12)*'Tabellen PO-Raad'!$C$9,0)</f>
        <v>806.85460799999998</v>
      </c>
      <c r="J40" s="333">
        <f>IF(J$20&lt;&gt;"[leeg]",IF(AH$36/J$25&lt;'Tabellen PO-Raad'!$C$9,0,(AH$36-'Tabellen PO-Raad'!$E$9*J$25)/12)*'Tabellen PO-Raad'!$C$9,0)</f>
        <v>806.85460799999998</v>
      </c>
      <c r="K40" s="333">
        <f>IF(K$20&lt;&gt;"[leeg]",IF(AI$36/K$25&lt;'Tabellen PO-Raad'!$C$9,0,(AI$36-'Tabellen PO-Raad'!$E$9*K$25)/12)*'Tabellen PO-Raad'!$C$9,0)</f>
        <v>0</v>
      </c>
      <c r="L40" s="333">
        <f>IF(L$20&lt;&gt;"[leeg]",IF(AJ$36/L$25&lt;'Tabellen PO-Raad'!$C$9,0,(AJ$36-'Tabellen PO-Raad'!$E$9*L$25)/12)*'Tabellen PO-Raad'!$C$9,0)</f>
        <v>0</v>
      </c>
      <c r="M40" s="333">
        <f>IF(M$20&lt;&gt;"[leeg]",IF(AK$36/M$25&lt;'Tabellen PO-Raad'!$C$9,0,(AK$36-'Tabellen PO-Raad'!$E$9*M$25)/12)*'Tabellen PO-Raad'!$C$9,0)</f>
        <v>0</v>
      </c>
      <c r="N40" s="333">
        <f>IF(N$20&lt;&gt;"[leeg]",IF(AL$36/N$25&lt;'Tabellen PO-Raad'!$C$9,0,(AL$36-'Tabellen PO-Raad'!$E$9*N$25)/12)*'Tabellen PO-Raad'!$C$9,0)</f>
        <v>0</v>
      </c>
      <c r="O40" s="333">
        <f>IF(O$20&lt;&gt;"[leeg]",IF(AM$36/O$25&lt;'Tabellen PO-Raad'!$C$9,0,(AM$36-'Tabellen PO-Raad'!$E$9*O$25)/12)*'Tabellen PO-Raad'!$C$9,0)</f>
        <v>0</v>
      </c>
      <c r="P40" s="333">
        <f>IF(P$20&lt;&gt;"[leeg]",IF(AN$36/P$25&lt;'Tabellen PO-Raad'!$C$9,0,(AN$36-'Tabellen PO-Raad'!$E$9*P$25)/12)*'Tabellen PO-Raad'!$C$9,0)</f>
        <v>0</v>
      </c>
      <c r="Q40" s="333">
        <f>IF(Q$20&lt;&gt;"[leeg]",IF(AO$36/Q$25&lt;'Tabellen PO-Raad'!$C$9,0,(AO$36-'Tabellen PO-Raad'!$E$9*Q$25)/12)*'Tabellen PO-Raad'!$C$9,0)</f>
        <v>0</v>
      </c>
      <c r="R40" s="333">
        <f t="shared" ref="R40:R50" si="77">H40*H$26+I40*I$26+J40*J$26+K40*K$26+L40*L$26+M40*M$26+N40*N$26+O40*O$26+P40*P$26+Q40*Q$26</f>
        <v>806.85460799999998</v>
      </c>
      <c r="S40" s="308"/>
      <c r="T40" s="333">
        <f>H40</f>
        <v>806.85460799999998</v>
      </c>
      <c r="U40" s="333">
        <f t="shared" ref="U40" si="78">IF(U20&lt;&gt;"[leeg]",I40,0)</f>
        <v>806.85460799999998</v>
      </c>
      <c r="V40" s="333">
        <f t="shared" ref="V40" si="79">IF(V20&lt;&gt;"[leeg]",J40,0)</f>
        <v>806.85460799999998</v>
      </c>
      <c r="W40" s="333">
        <f t="shared" ref="W40" si="80">IF(W20&lt;&gt;"[leeg]",K40,0)</f>
        <v>0</v>
      </c>
      <c r="X40" s="333">
        <f t="shared" ref="X40" si="81">IF(X20&lt;&gt;"[leeg]",L40,0)</f>
        <v>0</v>
      </c>
      <c r="Y40" s="333">
        <f t="shared" ref="Y40" si="82">IF(Y20&lt;&gt;"[leeg]",M40,0)</f>
        <v>0</v>
      </c>
      <c r="Z40" s="333">
        <f t="shared" ref="Z40" si="83">IF(Z20&lt;&gt;"[leeg]",N40,0)</f>
        <v>0</v>
      </c>
      <c r="AA40" s="333">
        <f t="shared" ref="AA40" si="84">IF(AA20&lt;&gt;"[leeg]",O40,0)</f>
        <v>0</v>
      </c>
      <c r="AB40" s="333">
        <f t="shared" ref="AB40" si="85">IF(AB20&lt;&gt;"[leeg]",P40,0)</f>
        <v>0</v>
      </c>
      <c r="AC40" s="333">
        <f t="shared" ref="AC40" si="86">IF(AC20&lt;&gt;"[leeg]",Q40,0)</f>
        <v>0</v>
      </c>
      <c r="AD40" s="333">
        <f t="shared" ref="AD40:AD50" si="87">T40*T$26+U40*U$26+V40*V$26+W40*W$26+X40*X$26+Y40*Y$26+Z40*Z$26+AA40*AA$26+AB40*AB$26+AC40*AC$26</f>
        <v>806.85460799999998</v>
      </c>
      <c r="AE40" s="308"/>
      <c r="AF40" s="334">
        <f t="shared" ref="AF40:AF45" si="88">H40*12</f>
        <v>9682.2552959999994</v>
      </c>
      <c r="AG40" s="334">
        <f t="shared" ref="AG40:AG45" si="89">I40*12</f>
        <v>9682.2552959999994</v>
      </c>
      <c r="AH40" s="334">
        <f t="shared" ref="AH40:AH45" si="90">J40*12</f>
        <v>9682.2552959999994</v>
      </c>
      <c r="AI40" s="334">
        <f t="shared" ref="AI40:AI45" si="91">K40*12</f>
        <v>0</v>
      </c>
      <c r="AJ40" s="334">
        <f t="shared" ref="AJ40:AJ45" si="92">L40*12</f>
        <v>0</v>
      </c>
      <c r="AK40" s="334">
        <f t="shared" ref="AK40:AK45" si="93">M40*12</f>
        <v>0</v>
      </c>
      <c r="AL40" s="334">
        <f t="shared" ref="AL40:AL45" si="94">N40*12</f>
        <v>0</v>
      </c>
      <c r="AM40" s="334">
        <f t="shared" ref="AM40:AM45" si="95">O40*12</f>
        <v>0</v>
      </c>
      <c r="AN40" s="334">
        <f t="shared" ref="AN40:AN45" si="96">P40*12</f>
        <v>0</v>
      </c>
      <c r="AO40" s="334">
        <f t="shared" ref="AO40:AO45" si="97">Q40*12</f>
        <v>0</v>
      </c>
      <c r="AP40" s="334">
        <f t="shared" ref="AP40:AP50" si="98">AF40*AF$26+AG40*AG$26+AH40*AH$26+AI40*AI$26+AJ40*AJ$26+AK40*AK$26+AL40*AL$26+AM40*AM$26+AN40*AN$26+AO40*AO$26</f>
        <v>9682.2552959999994</v>
      </c>
      <c r="AQ40" s="308"/>
      <c r="AR40" s="334">
        <f t="shared" ref="AR40:AR45" si="99">T40*12</f>
        <v>9682.2552959999994</v>
      </c>
      <c r="AS40" s="334">
        <f t="shared" ref="AS40:AS45" si="100">U40*12</f>
        <v>9682.2552959999994</v>
      </c>
      <c r="AT40" s="334">
        <f t="shared" ref="AT40:AT45" si="101">V40*12</f>
        <v>9682.2552959999994</v>
      </c>
      <c r="AU40" s="334">
        <f t="shared" ref="AU40:AU45" si="102">W40*12</f>
        <v>0</v>
      </c>
      <c r="AV40" s="334">
        <f t="shared" ref="AV40:AV45" si="103">X40*12</f>
        <v>0</v>
      </c>
      <c r="AW40" s="334">
        <f t="shared" ref="AW40:AW45" si="104">Y40*12</f>
        <v>0</v>
      </c>
      <c r="AX40" s="334">
        <f t="shared" ref="AX40:AX45" si="105">Z40*12</f>
        <v>0</v>
      </c>
      <c r="AY40" s="334">
        <f t="shared" ref="AY40:AY45" si="106">AA40*12</f>
        <v>0</v>
      </c>
      <c r="AZ40" s="334">
        <f t="shared" ref="AZ40:AZ45" si="107">AB40*12</f>
        <v>0</v>
      </c>
      <c r="BA40" s="334">
        <f t="shared" ref="BA40:BA45" si="108">AC40*12</f>
        <v>0</v>
      </c>
      <c r="BB40" s="334">
        <f t="shared" ref="BB40:BB50" si="109">AR40*AR$26+AS40*AS$26+AT40*AT$26+AU40*AU$26+AV40*AV$26+AW40*AW$26+AX40*AX$26+AY40*AY$26+AZ40*AZ$26+BA40*BA$26</f>
        <v>9682.2552959999994</v>
      </c>
      <c r="BC40" s="141"/>
      <c r="BF40" s="85"/>
      <c r="BG40" s="85"/>
      <c r="BH40" s="85"/>
    </row>
    <row r="41" spans="1:60" s="16" customFormat="1" ht="12.95" customHeight="1" thickTop="1" thickBot="1" x14ac:dyDescent="0.25">
      <c r="A41" s="34"/>
      <c r="B41" s="26"/>
      <c r="C41" s="26" t="s">
        <v>36</v>
      </c>
      <c r="D41" s="26"/>
      <c r="E41" s="17"/>
      <c r="F41" s="27"/>
      <c r="G41" s="26"/>
      <c r="H41" s="475">
        <f>IF(AF$36/H$25&lt;'Tabellen PO-Raad'!$E$10,0,(AF$36-'Tabellen PO-Raad'!$E$10*H$25)/12)*'Tabellen PO-Raad'!$C$10</f>
        <v>19.075615999999997</v>
      </c>
      <c r="I41" s="333">
        <f>IF(I$20&lt;&gt;"[leeg]",IF(AF$36/H$25&lt;'Tabellen PO-Raad'!$E$10,0,(AF$36-'Tabellen PO-Raad'!$E$10*H$25)/12)*'Tabellen PO-Raad'!$C$10,0)</f>
        <v>19.075615999999997</v>
      </c>
      <c r="J41" s="333">
        <f>IF(J$20&lt;&gt;"[leeg]",IF(AG$36/I$25&lt;'Tabellen PO-Raad'!$E$10,0,(AG$36-'Tabellen PO-Raad'!$E$10*I$25)/12)*'Tabellen PO-Raad'!$C$10,0)</f>
        <v>19.075615999999997</v>
      </c>
      <c r="K41" s="333">
        <f>IF(K$20&lt;&gt;"[leeg]",IF(AH$36/J$25&lt;'Tabellen PO-Raad'!$E$10,0,(AH$36-'Tabellen PO-Raad'!$E$10*J$25)/12)*'Tabellen PO-Raad'!$C$10,0)</f>
        <v>0</v>
      </c>
      <c r="L41" s="333">
        <f>IF(L$20&lt;&gt;"[leeg]",IF(AI$36/K$25&lt;'Tabellen PO-Raad'!$E$10,0,(AI$36-'Tabellen PO-Raad'!$E$10*K$25)/12)*'Tabellen PO-Raad'!$C$10,0)</f>
        <v>0</v>
      </c>
      <c r="M41" s="333">
        <f>IF(M$20&lt;&gt;"[leeg]",IF(AJ$36/L$25&lt;'Tabellen PO-Raad'!$E$10,0,(AJ$36-'Tabellen PO-Raad'!$E$10*L$25)/12)*'Tabellen PO-Raad'!$C$10,0)</f>
        <v>0</v>
      </c>
      <c r="N41" s="333">
        <f>IF(N$20&lt;&gt;"[leeg]",IF(AK$36/M$25&lt;'Tabellen PO-Raad'!$E$10,0,(AK$36-'Tabellen PO-Raad'!$E$10*M$25)/12)*'Tabellen PO-Raad'!$C$10,0)</f>
        <v>0</v>
      </c>
      <c r="O41" s="333">
        <f>IF(O$20&lt;&gt;"[leeg]",IF(AL$36/N$25&lt;'Tabellen PO-Raad'!$E$10,0,(AL$36-'Tabellen PO-Raad'!$E$10*N$25)/12)*'Tabellen PO-Raad'!$C$10,0)</f>
        <v>0</v>
      </c>
      <c r="P41" s="333">
        <f>IF(P$20&lt;&gt;"[leeg]",IF(AM$36/O$25&lt;'Tabellen PO-Raad'!$E$10,0,(AM$36-'Tabellen PO-Raad'!$E$10*O$25)/12)*'Tabellen PO-Raad'!$C$10,0)</f>
        <v>0</v>
      </c>
      <c r="Q41" s="333">
        <f>IF(Q$20&lt;&gt;"[leeg]",IF(AN$36/P$25&lt;'Tabellen PO-Raad'!$E$10,0,(AN$36-'Tabellen PO-Raad'!$E$10*P$25)/12)*'Tabellen PO-Raad'!$C$10,0)</f>
        <v>0</v>
      </c>
      <c r="R41" s="333">
        <f t="shared" si="77"/>
        <v>19.075615999999997</v>
      </c>
      <c r="S41" s="308"/>
      <c r="T41" s="333">
        <f t="shared" ref="T41:T45" si="110">H41</f>
        <v>19.075615999999997</v>
      </c>
      <c r="U41" s="333">
        <f>IF(U$20&lt;&gt;"[leeg]",I41,0)</f>
        <v>19.075615999999997</v>
      </c>
      <c r="V41" s="333">
        <f t="shared" ref="V41:AC45" si="111">IF(V$20&lt;&gt;"[leeg]",J41,0)</f>
        <v>19.075615999999997</v>
      </c>
      <c r="W41" s="333">
        <f t="shared" si="111"/>
        <v>0</v>
      </c>
      <c r="X41" s="333">
        <f t="shared" si="111"/>
        <v>0</v>
      </c>
      <c r="Y41" s="333">
        <f t="shared" si="111"/>
        <v>0</v>
      </c>
      <c r="Z41" s="333">
        <f t="shared" si="111"/>
        <v>0</v>
      </c>
      <c r="AA41" s="333">
        <f t="shared" si="111"/>
        <v>0</v>
      </c>
      <c r="AB41" s="333">
        <f t="shared" si="111"/>
        <v>0</v>
      </c>
      <c r="AC41" s="333">
        <f t="shared" si="111"/>
        <v>0</v>
      </c>
      <c r="AD41" s="333">
        <f t="shared" si="87"/>
        <v>19.075615999999997</v>
      </c>
      <c r="AE41" s="308"/>
      <c r="AF41" s="334">
        <f t="shared" si="88"/>
        <v>228.90739199999996</v>
      </c>
      <c r="AG41" s="334">
        <f t="shared" si="89"/>
        <v>228.90739199999996</v>
      </c>
      <c r="AH41" s="334">
        <f t="shared" si="90"/>
        <v>228.90739199999996</v>
      </c>
      <c r="AI41" s="334">
        <f t="shared" si="91"/>
        <v>0</v>
      </c>
      <c r="AJ41" s="334">
        <f t="shared" si="92"/>
        <v>0</v>
      </c>
      <c r="AK41" s="334">
        <f t="shared" si="93"/>
        <v>0</v>
      </c>
      <c r="AL41" s="334">
        <f t="shared" si="94"/>
        <v>0</v>
      </c>
      <c r="AM41" s="334">
        <f t="shared" si="95"/>
        <v>0</v>
      </c>
      <c r="AN41" s="334">
        <f t="shared" si="96"/>
        <v>0</v>
      </c>
      <c r="AO41" s="334">
        <f t="shared" si="97"/>
        <v>0</v>
      </c>
      <c r="AP41" s="334">
        <f t="shared" si="98"/>
        <v>228.90739199999996</v>
      </c>
      <c r="AQ41" s="308"/>
      <c r="AR41" s="334">
        <f t="shared" si="99"/>
        <v>228.90739199999996</v>
      </c>
      <c r="AS41" s="334">
        <f t="shared" si="100"/>
        <v>228.90739199999996</v>
      </c>
      <c r="AT41" s="334">
        <f t="shared" si="101"/>
        <v>228.90739199999996</v>
      </c>
      <c r="AU41" s="334">
        <f t="shared" si="102"/>
        <v>0</v>
      </c>
      <c r="AV41" s="334">
        <f t="shared" si="103"/>
        <v>0</v>
      </c>
      <c r="AW41" s="334">
        <f t="shared" si="104"/>
        <v>0</v>
      </c>
      <c r="AX41" s="334">
        <f t="shared" si="105"/>
        <v>0</v>
      </c>
      <c r="AY41" s="334">
        <f t="shared" si="106"/>
        <v>0</v>
      </c>
      <c r="AZ41" s="334">
        <f t="shared" si="107"/>
        <v>0</v>
      </c>
      <c r="BA41" s="334">
        <f t="shared" si="108"/>
        <v>0</v>
      </c>
      <c r="BB41" s="334">
        <f t="shared" si="109"/>
        <v>228.90739199999996</v>
      </c>
      <c r="BC41" s="11"/>
      <c r="BF41" s="33"/>
      <c r="BG41" s="33"/>
      <c r="BH41" s="33"/>
    </row>
    <row r="42" spans="1:60" s="16" customFormat="1" ht="12.95" customHeight="1" thickTop="1" thickBot="1" x14ac:dyDescent="0.25">
      <c r="A42" s="34"/>
      <c r="B42" s="43"/>
      <c r="C42" s="26" t="s">
        <v>45</v>
      </c>
      <c r="D42" s="26"/>
      <c r="E42" s="17"/>
      <c r="F42" s="50"/>
      <c r="G42" s="26"/>
      <c r="H42" s="475">
        <f>AF$36/12*'Tabellen PO-Raad'!$C$11</f>
        <v>0</v>
      </c>
      <c r="I42" s="333">
        <f>IF(I$20&lt;&gt;"[leeg]",AF$36/12*'Tabellen PO-Raad'!$C$11,0)</f>
        <v>0</v>
      </c>
      <c r="J42" s="333">
        <f>IF(J$20&lt;&gt;"[leeg]",AG$36/12*'Tabellen PO-Raad'!$C$11,0)</f>
        <v>0</v>
      </c>
      <c r="K42" s="333">
        <f>IF(K$20&lt;&gt;"[leeg]",AH$36/12*'Tabellen PO-Raad'!$C$11,0)</f>
        <v>0</v>
      </c>
      <c r="L42" s="333">
        <f>IF(L$20&lt;&gt;"[leeg]",AI$36/12*'Tabellen PO-Raad'!$C$11,0)</f>
        <v>0</v>
      </c>
      <c r="M42" s="333">
        <f>IF(M$20&lt;&gt;"[leeg]",AJ$36/12*'Tabellen PO-Raad'!$C$11,0)</f>
        <v>0</v>
      </c>
      <c r="N42" s="333">
        <f>IF(N$20&lt;&gt;"[leeg]",AK$36/12*'Tabellen PO-Raad'!$C$11,0)</f>
        <v>0</v>
      </c>
      <c r="O42" s="333">
        <f>IF(O$20&lt;&gt;"[leeg]",AL$36/12*'Tabellen PO-Raad'!$C$11,0)</f>
        <v>0</v>
      </c>
      <c r="P42" s="333">
        <f>IF(P$20&lt;&gt;"[leeg]",AM$36/12*'Tabellen PO-Raad'!$C$11,0)</f>
        <v>0</v>
      </c>
      <c r="Q42" s="333">
        <f>IF(Q$20&lt;&gt;"[leeg]",AN$36/12*'Tabellen PO-Raad'!$C$11,0)</f>
        <v>0</v>
      </c>
      <c r="R42" s="333">
        <f t="shared" si="77"/>
        <v>0</v>
      </c>
      <c r="S42" s="308"/>
      <c r="T42" s="333">
        <f t="shared" si="110"/>
        <v>0</v>
      </c>
      <c r="U42" s="333">
        <f>IF(U$20&lt;&gt;"[leeg]",I42,0)</f>
        <v>0</v>
      </c>
      <c r="V42" s="333">
        <f t="shared" si="111"/>
        <v>0</v>
      </c>
      <c r="W42" s="333">
        <f t="shared" si="111"/>
        <v>0</v>
      </c>
      <c r="X42" s="333">
        <f t="shared" si="111"/>
        <v>0</v>
      </c>
      <c r="Y42" s="333">
        <f t="shared" si="111"/>
        <v>0</v>
      </c>
      <c r="Z42" s="333">
        <f t="shared" si="111"/>
        <v>0</v>
      </c>
      <c r="AA42" s="333">
        <f t="shared" si="111"/>
        <v>0</v>
      </c>
      <c r="AB42" s="333">
        <f t="shared" si="111"/>
        <v>0</v>
      </c>
      <c r="AC42" s="333">
        <f t="shared" si="111"/>
        <v>0</v>
      </c>
      <c r="AD42" s="333">
        <f t="shared" si="87"/>
        <v>0</v>
      </c>
      <c r="AE42" s="308"/>
      <c r="AF42" s="334">
        <f t="shared" si="88"/>
        <v>0</v>
      </c>
      <c r="AG42" s="334">
        <f t="shared" si="89"/>
        <v>0</v>
      </c>
      <c r="AH42" s="334">
        <f t="shared" si="90"/>
        <v>0</v>
      </c>
      <c r="AI42" s="334">
        <f t="shared" si="91"/>
        <v>0</v>
      </c>
      <c r="AJ42" s="334">
        <f t="shared" si="92"/>
        <v>0</v>
      </c>
      <c r="AK42" s="334">
        <f t="shared" si="93"/>
        <v>0</v>
      </c>
      <c r="AL42" s="334">
        <f t="shared" si="94"/>
        <v>0</v>
      </c>
      <c r="AM42" s="334">
        <f t="shared" si="95"/>
        <v>0</v>
      </c>
      <c r="AN42" s="334">
        <f t="shared" si="96"/>
        <v>0</v>
      </c>
      <c r="AO42" s="334">
        <f t="shared" si="97"/>
        <v>0</v>
      </c>
      <c r="AP42" s="334">
        <f t="shared" si="98"/>
        <v>0</v>
      </c>
      <c r="AQ42" s="308"/>
      <c r="AR42" s="334">
        <f t="shared" si="99"/>
        <v>0</v>
      </c>
      <c r="AS42" s="334">
        <f t="shared" si="100"/>
        <v>0</v>
      </c>
      <c r="AT42" s="334">
        <f t="shared" si="101"/>
        <v>0</v>
      </c>
      <c r="AU42" s="334">
        <f t="shared" si="102"/>
        <v>0</v>
      </c>
      <c r="AV42" s="334">
        <f t="shared" si="103"/>
        <v>0</v>
      </c>
      <c r="AW42" s="334">
        <f t="shared" si="104"/>
        <v>0</v>
      </c>
      <c r="AX42" s="334">
        <f t="shared" si="105"/>
        <v>0</v>
      </c>
      <c r="AY42" s="334">
        <f t="shared" si="106"/>
        <v>0</v>
      </c>
      <c r="AZ42" s="334">
        <f t="shared" si="107"/>
        <v>0</v>
      </c>
      <c r="BA42" s="334">
        <f t="shared" si="108"/>
        <v>0</v>
      </c>
      <c r="BB42" s="334">
        <f t="shared" si="109"/>
        <v>0</v>
      </c>
      <c r="BC42" s="11"/>
      <c r="BF42" s="33"/>
      <c r="BG42" s="33"/>
      <c r="BH42" s="33"/>
    </row>
    <row r="43" spans="1:60" s="16" customFormat="1" ht="12.95" customHeight="1" thickTop="1" thickBot="1" x14ac:dyDescent="0.25">
      <c r="B43" s="43"/>
      <c r="C43" s="26" t="s">
        <v>92</v>
      </c>
      <c r="D43" s="26"/>
      <c r="E43" s="17"/>
      <c r="F43" s="27"/>
      <c r="G43" s="26"/>
      <c r="H43" s="475">
        <f>IF('Inkomensgevolgen uitgebreid'!D27&gt;'Tabellen PO-Raad'!$G$12/12,'Tabellen PO-Raad'!$G$12/12,'Inkomensgevolgen uitgebreid'!D27)*('Tabellen PO-Raad'!$C$12+'Tabellen PO-Raad'!$C$13)</f>
        <v>412.46895000000001</v>
      </c>
      <c r="I43" s="333">
        <f>IF(I$20&lt;&gt;"[leeg]",IF('Inkomensgevolgen uitgebreid'!E27&gt;'Tabellen PO-Raad'!$G$12/12,'Tabellen PO-Raad'!$G$12/12,'Inkomensgevolgen uitgebreid'!E27)*('Tabellen PO-Raad'!$C$12+'Tabellen PO-Raad'!$C$13),0)</f>
        <v>412.46895000000001</v>
      </c>
      <c r="J43" s="333">
        <f>IF(J$20&lt;&gt;"[leeg]",IF('Inkomensgevolgen uitgebreid'!F27&gt;'Tabellen PO-Raad'!$G$12/12,'Tabellen PO-Raad'!$G$12/12,'Inkomensgevolgen uitgebreid'!F27)*('Tabellen PO-Raad'!$C$12+'Tabellen PO-Raad'!$C$13),0)</f>
        <v>412.46895000000001</v>
      </c>
      <c r="K43" s="333">
        <f>IF(K$20&lt;&gt;"[leeg]",IF('Inkomensgevolgen uitgebreid'!G27&gt;'Tabellen PO-Raad'!$G$12/12,'Tabellen PO-Raad'!$G$12/12,'Inkomensgevolgen uitgebreid'!G27)*('Tabellen PO-Raad'!$C$12+'Tabellen PO-Raad'!$C$13),0)</f>
        <v>0</v>
      </c>
      <c r="L43" s="333">
        <f>IF(L$20&lt;&gt;"[leeg]",IF('Inkomensgevolgen uitgebreid'!H27&gt;'Tabellen PO-Raad'!$G$12/12,'Tabellen PO-Raad'!$G$12/12,'Inkomensgevolgen uitgebreid'!H27)*('Tabellen PO-Raad'!$C$12+'Tabellen PO-Raad'!$C$13),0)</f>
        <v>0</v>
      </c>
      <c r="M43" s="333">
        <f>IF(M$20&lt;&gt;"[leeg]",IF('Inkomensgevolgen uitgebreid'!I27&gt;'Tabellen PO-Raad'!$G$12/12,'Tabellen PO-Raad'!$G$12/12,'Inkomensgevolgen uitgebreid'!I27)*('Tabellen PO-Raad'!$C$12+'Tabellen PO-Raad'!$C$13),0)</f>
        <v>0</v>
      </c>
      <c r="N43" s="333">
        <f>IF(N$20&lt;&gt;"[leeg]",IF('Inkomensgevolgen uitgebreid'!J27&gt;'Tabellen PO-Raad'!$G$12/12,'Tabellen PO-Raad'!$G$12/12,'Inkomensgevolgen uitgebreid'!J27)*('Tabellen PO-Raad'!$C$12+'Tabellen PO-Raad'!$C$13),0)</f>
        <v>0</v>
      </c>
      <c r="O43" s="333">
        <f>IF(O$20&lt;&gt;"[leeg]",IF('Inkomensgevolgen uitgebreid'!K27&gt;'Tabellen PO-Raad'!$G$12/12,'Tabellen PO-Raad'!$G$12/12,'Inkomensgevolgen uitgebreid'!K27)*('Tabellen PO-Raad'!$C$12+'Tabellen PO-Raad'!$C$13),0)</f>
        <v>0</v>
      </c>
      <c r="P43" s="333">
        <f>IF(P$20&lt;&gt;"[leeg]",IF('Inkomensgevolgen uitgebreid'!L27&gt;'Tabellen PO-Raad'!$G$12/12,'Tabellen PO-Raad'!$G$12/12,'Inkomensgevolgen uitgebreid'!L27)*('Tabellen PO-Raad'!$C$12+'Tabellen PO-Raad'!$C$13),0)</f>
        <v>0</v>
      </c>
      <c r="Q43" s="333">
        <f>IF(Q$20&lt;&gt;"[leeg]",IF('Inkomensgevolgen uitgebreid'!M27&gt;'Tabellen PO-Raad'!$G$12/12,'Tabellen PO-Raad'!$G$12/12,'Inkomensgevolgen uitgebreid'!M27)*('Tabellen PO-Raad'!$C$12+'Tabellen PO-Raad'!$C$13),0)</f>
        <v>0</v>
      </c>
      <c r="R43" s="333">
        <f t="shared" si="77"/>
        <v>412.46895000000001</v>
      </c>
      <c r="S43" s="308"/>
      <c r="T43" s="333">
        <f t="shared" si="110"/>
        <v>412.46895000000001</v>
      </c>
      <c r="U43" s="333">
        <f>IF(U$20&lt;&gt;"[leeg]",I43,0)</f>
        <v>412.46895000000001</v>
      </c>
      <c r="V43" s="333">
        <f t="shared" si="111"/>
        <v>412.46895000000001</v>
      </c>
      <c r="W43" s="333">
        <f t="shared" si="111"/>
        <v>0</v>
      </c>
      <c r="X43" s="333">
        <f t="shared" si="111"/>
        <v>0</v>
      </c>
      <c r="Y43" s="333">
        <f t="shared" si="111"/>
        <v>0</v>
      </c>
      <c r="Z43" s="333">
        <f t="shared" si="111"/>
        <v>0</v>
      </c>
      <c r="AA43" s="333">
        <f t="shared" si="111"/>
        <v>0</v>
      </c>
      <c r="AB43" s="333">
        <f t="shared" si="111"/>
        <v>0</v>
      </c>
      <c r="AC43" s="333">
        <f t="shared" si="111"/>
        <v>0</v>
      </c>
      <c r="AD43" s="333">
        <f t="shared" si="87"/>
        <v>412.46895000000001</v>
      </c>
      <c r="AE43" s="308"/>
      <c r="AF43" s="334">
        <f t="shared" si="88"/>
        <v>4949.6274000000003</v>
      </c>
      <c r="AG43" s="334">
        <f t="shared" si="89"/>
        <v>4949.6274000000003</v>
      </c>
      <c r="AH43" s="334">
        <f t="shared" si="90"/>
        <v>4949.6274000000003</v>
      </c>
      <c r="AI43" s="334">
        <f t="shared" si="91"/>
        <v>0</v>
      </c>
      <c r="AJ43" s="334">
        <f t="shared" si="92"/>
        <v>0</v>
      </c>
      <c r="AK43" s="334">
        <f t="shared" si="93"/>
        <v>0</v>
      </c>
      <c r="AL43" s="334">
        <f t="shared" si="94"/>
        <v>0</v>
      </c>
      <c r="AM43" s="334">
        <f t="shared" si="95"/>
        <v>0</v>
      </c>
      <c r="AN43" s="334">
        <f t="shared" si="96"/>
        <v>0</v>
      </c>
      <c r="AO43" s="334">
        <f t="shared" si="97"/>
        <v>0</v>
      </c>
      <c r="AP43" s="334">
        <f t="shared" si="98"/>
        <v>4949.6274000000003</v>
      </c>
      <c r="AQ43" s="308"/>
      <c r="AR43" s="334">
        <f>T43*12</f>
        <v>4949.6274000000003</v>
      </c>
      <c r="AS43" s="334">
        <f t="shared" si="100"/>
        <v>4949.6274000000003</v>
      </c>
      <c r="AT43" s="334">
        <f t="shared" si="101"/>
        <v>4949.6274000000003</v>
      </c>
      <c r="AU43" s="334">
        <f t="shared" si="102"/>
        <v>0</v>
      </c>
      <c r="AV43" s="334">
        <f t="shared" si="103"/>
        <v>0</v>
      </c>
      <c r="AW43" s="334">
        <f t="shared" si="104"/>
        <v>0</v>
      </c>
      <c r="AX43" s="334">
        <f t="shared" si="105"/>
        <v>0</v>
      </c>
      <c r="AY43" s="334">
        <f t="shared" si="106"/>
        <v>0</v>
      </c>
      <c r="AZ43" s="334">
        <f t="shared" si="107"/>
        <v>0</v>
      </c>
      <c r="BA43" s="334">
        <f t="shared" si="108"/>
        <v>0</v>
      </c>
      <c r="BB43" s="334">
        <f t="shared" si="109"/>
        <v>4949.6274000000003</v>
      </c>
      <c r="BC43" s="11"/>
      <c r="BF43" s="33"/>
      <c r="BG43" s="33"/>
      <c r="BH43" s="33"/>
    </row>
    <row r="44" spans="1:60" s="16" customFormat="1" ht="12.95" customHeight="1" thickTop="1" thickBot="1" x14ac:dyDescent="0.25">
      <c r="B44" s="43"/>
      <c r="C44" s="26" t="s">
        <v>44</v>
      </c>
      <c r="D44" s="26"/>
      <c r="E44" s="17"/>
      <c r="F44" s="27"/>
      <c r="G44" s="26"/>
      <c r="H44" s="475">
        <f>ROUND(IF('Inkomensgevolgen uitgebreid'!D27&gt;'Tabellen PO-Raad'!$H$13,'Tabellen PO-Raad'!$H$13,'Inkomensgevolgen uitgebreid'!D27)*'Tabellen PO-Raad'!$C$13,2)</f>
        <v>58.71</v>
      </c>
      <c r="I44" s="333">
        <f>IF(I$20&lt;&gt;"[leeg]",ROUND(IF('Inkomensgevolgen uitgebreid'!E27&gt;'Tabellen PO-Raad'!$H13,'Tabellen PO-Raad'!$H13,'Inkomensgevolgen uitgebreid'!E27)*'Tabellen PO-Raad'!$C13,2),0)</f>
        <v>58.71</v>
      </c>
      <c r="J44" s="333">
        <f>IF(J$20&lt;&gt;"[leeg]",ROUND(IF('Inkomensgevolgen uitgebreid'!F27&gt;'Tabellen PO-Raad'!$H13,'Tabellen PO-Raad'!$H13,'Inkomensgevolgen uitgebreid'!F27)*'Tabellen PO-Raad'!$C13,2),0)</f>
        <v>58.71</v>
      </c>
      <c r="K44" s="333">
        <f>IF(K$20&lt;&gt;"[leeg]",ROUND(IF('Inkomensgevolgen uitgebreid'!G27&gt;'Tabellen PO-Raad'!$H13,'Tabellen PO-Raad'!$H13,'Inkomensgevolgen uitgebreid'!G27)*'Tabellen PO-Raad'!$C13,2),0)</f>
        <v>0</v>
      </c>
      <c r="L44" s="333">
        <f>IF(L$20&lt;&gt;"[leeg]",ROUND(IF('Inkomensgevolgen uitgebreid'!H27&gt;'Tabellen PO-Raad'!$H13,'Tabellen PO-Raad'!$H13,'Inkomensgevolgen uitgebreid'!H27)*'Tabellen PO-Raad'!$C13,2),0)</f>
        <v>0</v>
      </c>
      <c r="M44" s="333">
        <f>IF(M$20&lt;&gt;"[leeg]",ROUND(IF('Inkomensgevolgen uitgebreid'!I27&gt;'Tabellen PO-Raad'!$H13,'Tabellen PO-Raad'!$H13,'Inkomensgevolgen uitgebreid'!I27)*'Tabellen PO-Raad'!$C13,2),0)</f>
        <v>0</v>
      </c>
      <c r="N44" s="333">
        <f>IF(N$20&lt;&gt;"[leeg]",ROUND(IF('Inkomensgevolgen uitgebreid'!J27&gt;'Tabellen PO-Raad'!$H13,'Tabellen PO-Raad'!$H13,'Inkomensgevolgen uitgebreid'!J27)*'Tabellen PO-Raad'!$C13,2),0)</f>
        <v>0</v>
      </c>
      <c r="O44" s="333">
        <f>IF(O$20&lt;&gt;"[leeg]",ROUND(IF('Inkomensgevolgen uitgebreid'!K27&gt;'Tabellen PO-Raad'!$H13,'Tabellen PO-Raad'!$H13,'Inkomensgevolgen uitgebreid'!K27)*'Tabellen PO-Raad'!$C13,2),0)</f>
        <v>0</v>
      </c>
      <c r="P44" s="333">
        <f>IF(P$20&lt;&gt;"[leeg]",ROUND(IF('Inkomensgevolgen uitgebreid'!L27&gt;'Tabellen PO-Raad'!$H13,'Tabellen PO-Raad'!$H13,'Inkomensgevolgen uitgebreid'!L27)*'Tabellen PO-Raad'!$C13,2),0)</f>
        <v>0</v>
      </c>
      <c r="Q44" s="333">
        <f>IF(Q$20&lt;&gt;"[leeg]",ROUND(IF('Inkomensgevolgen uitgebreid'!M27&gt;'Tabellen PO-Raad'!$H13,'Tabellen PO-Raad'!$H13,'Inkomensgevolgen uitgebreid'!M27)*'Tabellen PO-Raad'!$C13,2),0)</f>
        <v>0</v>
      </c>
      <c r="R44" s="333">
        <f t="shared" si="77"/>
        <v>58.71</v>
      </c>
      <c r="S44" s="308"/>
      <c r="T44" s="333">
        <f t="shared" si="110"/>
        <v>58.71</v>
      </c>
      <c r="U44" s="333">
        <f>IF(U$20&lt;&gt;"[leeg]",I44,0)</f>
        <v>58.71</v>
      </c>
      <c r="V44" s="333">
        <f t="shared" si="111"/>
        <v>58.71</v>
      </c>
      <c r="W44" s="333">
        <f t="shared" si="111"/>
        <v>0</v>
      </c>
      <c r="X44" s="333">
        <f t="shared" si="111"/>
        <v>0</v>
      </c>
      <c r="Y44" s="333">
        <f t="shared" si="111"/>
        <v>0</v>
      </c>
      <c r="Z44" s="333">
        <f t="shared" si="111"/>
        <v>0</v>
      </c>
      <c r="AA44" s="333">
        <f t="shared" si="111"/>
        <v>0</v>
      </c>
      <c r="AB44" s="333">
        <f t="shared" si="111"/>
        <v>0</v>
      </c>
      <c r="AC44" s="333">
        <f t="shared" si="111"/>
        <v>0</v>
      </c>
      <c r="AD44" s="333">
        <f t="shared" si="87"/>
        <v>58.71</v>
      </c>
      <c r="AE44" s="308"/>
      <c r="AF44" s="334">
        <f t="shared" si="88"/>
        <v>704.52</v>
      </c>
      <c r="AG44" s="334">
        <f t="shared" si="89"/>
        <v>704.52</v>
      </c>
      <c r="AH44" s="334">
        <f t="shared" si="90"/>
        <v>704.52</v>
      </c>
      <c r="AI44" s="334">
        <f t="shared" si="91"/>
        <v>0</v>
      </c>
      <c r="AJ44" s="334">
        <f t="shared" si="92"/>
        <v>0</v>
      </c>
      <c r="AK44" s="334">
        <f t="shared" si="93"/>
        <v>0</v>
      </c>
      <c r="AL44" s="334">
        <f t="shared" si="94"/>
        <v>0</v>
      </c>
      <c r="AM44" s="334">
        <f t="shared" si="95"/>
        <v>0</v>
      </c>
      <c r="AN44" s="334">
        <f t="shared" si="96"/>
        <v>0</v>
      </c>
      <c r="AO44" s="334">
        <f t="shared" si="97"/>
        <v>0</v>
      </c>
      <c r="AP44" s="334">
        <f t="shared" si="98"/>
        <v>704.52</v>
      </c>
      <c r="AQ44" s="308"/>
      <c r="AR44" s="334">
        <f t="shared" si="99"/>
        <v>704.52</v>
      </c>
      <c r="AS44" s="334">
        <f t="shared" si="100"/>
        <v>704.52</v>
      </c>
      <c r="AT44" s="334">
        <f t="shared" si="101"/>
        <v>704.52</v>
      </c>
      <c r="AU44" s="334">
        <f t="shared" si="102"/>
        <v>0</v>
      </c>
      <c r="AV44" s="334">
        <f t="shared" si="103"/>
        <v>0</v>
      </c>
      <c r="AW44" s="334">
        <f t="shared" si="104"/>
        <v>0</v>
      </c>
      <c r="AX44" s="334">
        <f t="shared" si="105"/>
        <v>0</v>
      </c>
      <c r="AY44" s="334">
        <f t="shared" si="106"/>
        <v>0</v>
      </c>
      <c r="AZ44" s="334">
        <f t="shared" si="107"/>
        <v>0</v>
      </c>
      <c r="BA44" s="334">
        <f t="shared" si="108"/>
        <v>0</v>
      </c>
      <c r="BB44" s="334">
        <f t="shared" si="109"/>
        <v>704.52</v>
      </c>
      <c r="BC44" s="11"/>
      <c r="BF44" s="33"/>
      <c r="BG44" s="33"/>
      <c r="BH44" s="33"/>
    </row>
    <row r="45" spans="1:60" s="16" customFormat="1" ht="12.95" customHeight="1" thickTop="1" thickBot="1" x14ac:dyDescent="0.25">
      <c r="B45" s="26"/>
      <c r="C45" s="26" t="s">
        <v>14</v>
      </c>
      <c r="D45" s="26"/>
      <c r="E45" s="17"/>
      <c r="F45" s="27"/>
      <c r="G45" s="26"/>
      <c r="H45" s="475">
        <f>IF('Inkomensgevolgen uitgebreid'!D27&gt;'Tabellen PO-Raad'!$G$15*$H$25/12,'Tabellen PO-Raad'!$G$15*$H$25/12,'Inkomensgevolgen uitgebreid'!D27)*'Tabellen PO-Raad'!$C15</f>
        <v>33.833399999999997</v>
      </c>
      <c r="I45" s="333">
        <f>IF(I$20&lt;&gt;"[leeg]",IF('Inkomensgevolgen uitgebreid'!E27&gt;'Tabellen PO-Raad'!$G$15*$I$25/12,'Tabellen PO-Raad'!$G$15*$I$25/12,'Inkomensgevolgen uitgebreid'!E27)*'Tabellen PO-Raad'!$C15,0)</f>
        <v>33.833399999999997</v>
      </c>
      <c r="J45" s="333">
        <f>IF(J$20&lt;&gt;"[leeg]",IF('Inkomensgevolgen uitgebreid'!F27&gt;'Tabellen PO-Raad'!$G$15*$I$25/12,'Tabellen PO-Raad'!$G$15*$I$25/12,'Inkomensgevolgen uitgebreid'!F27)*'Tabellen PO-Raad'!$C15,0)</f>
        <v>33.833399999999997</v>
      </c>
      <c r="K45" s="333">
        <f>IF(K$20&lt;&gt;"[leeg]",IF('Inkomensgevolgen uitgebreid'!G27&gt;'Tabellen PO-Raad'!$G$15*$I$25/12,'Tabellen PO-Raad'!$G$15*$I$25/12,'Inkomensgevolgen uitgebreid'!G27)*'Tabellen PO-Raad'!$C15,0)</f>
        <v>0</v>
      </c>
      <c r="L45" s="333">
        <f>IF(L$20&lt;&gt;"[leeg]",IF('Inkomensgevolgen uitgebreid'!H27&gt;'Tabellen PO-Raad'!$G$15*$I$25/12,'Tabellen PO-Raad'!$G$15*$I$25/12,'Inkomensgevolgen uitgebreid'!H27)*'Tabellen PO-Raad'!$C15,0)</f>
        <v>0</v>
      </c>
      <c r="M45" s="333">
        <f>IF(M$20&lt;&gt;"[leeg]",IF('Inkomensgevolgen uitgebreid'!I27&gt;'Tabellen PO-Raad'!$G$15*$I$25/12,'Tabellen PO-Raad'!$G$15*$I$25/12,'Inkomensgevolgen uitgebreid'!I27)*'Tabellen PO-Raad'!$C15,0)</f>
        <v>0</v>
      </c>
      <c r="N45" s="333">
        <f>IF(N$20&lt;&gt;"[leeg]",IF('Inkomensgevolgen uitgebreid'!J27&gt;'Tabellen PO-Raad'!$G$15*$I$25/12,'Tabellen PO-Raad'!$G$15*$I$25/12,'Inkomensgevolgen uitgebreid'!J27)*'Tabellen PO-Raad'!$C15,0)</f>
        <v>0</v>
      </c>
      <c r="O45" s="333">
        <f>IF(O$20&lt;&gt;"[leeg]",IF('Inkomensgevolgen uitgebreid'!K27&gt;'Tabellen PO-Raad'!$G$15*$I$25/12,'Tabellen PO-Raad'!$G$15*$I$25/12,'Inkomensgevolgen uitgebreid'!K27)*'Tabellen PO-Raad'!$C15,0)</f>
        <v>0</v>
      </c>
      <c r="P45" s="333">
        <f>IF(P$20&lt;&gt;"[leeg]",IF('Inkomensgevolgen uitgebreid'!L27&gt;'Tabellen PO-Raad'!$G$15*$I$25/12,'Tabellen PO-Raad'!$G$15*$I$25/12,'Inkomensgevolgen uitgebreid'!L27)*'Tabellen PO-Raad'!$C15,0)</f>
        <v>0</v>
      </c>
      <c r="Q45" s="333">
        <f>IF(Q$20&lt;&gt;"[leeg]",IF('Inkomensgevolgen uitgebreid'!M27&gt;'Tabellen PO-Raad'!$G$15*$I$25/12,'Tabellen PO-Raad'!$G$15*$I$25/12,'Inkomensgevolgen uitgebreid'!M27)*'Tabellen PO-Raad'!$C15,0)</f>
        <v>0</v>
      </c>
      <c r="R45" s="333">
        <f t="shared" si="77"/>
        <v>33.833399999999997</v>
      </c>
      <c r="S45" s="308"/>
      <c r="T45" s="333">
        <f t="shared" si="110"/>
        <v>33.833399999999997</v>
      </c>
      <c r="U45" s="333">
        <f>IF(U$20&lt;&gt;"[leeg]",I45,0)</f>
        <v>33.833399999999997</v>
      </c>
      <c r="V45" s="333">
        <f t="shared" si="111"/>
        <v>33.833399999999997</v>
      </c>
      <c r="W45" s="333">
        <f t="shared" si="111"/>
        <v>0</v>
      </c>
      <c r="X45" s="333">
        <f t="shared" si="111"/>
        <v>0</v>
      </c>
      <c r="Y45" s="333">
        <f t="shared" si="111"/>
        <v>0</v>
      </c>
      <c r="Z45" s="333">
        <f t="shared" si="111"/>
        <v>0</v>
      </c>
      <c r="AA45" s="333">
        <f t="shared" si="111"/>
        <v>0</v>
      </c>
      <c r="AB45" s="333">
        <f t="shared" si="111"/>
        <v>0</v>
      </c>
      <c r="AC45" s="333">
        <f t="shared" si="111"/>
        <v>0</v>
      </c>
      <c r="AD45" s="333">
        <f t="shared" si="87"/>
        <v>33.833399999999997</v>
      </c>
      <c r="AE45" s="308"/>
      <c r="AF45" s="334">
        <f t="shared" si="88"/>
        <v>406.00079999999997</v>
      </c>
      <c r="AG45" s="334">
        <f t="shared" si="89"/>
        <v>406.00079999999997</v>
      </c>
      <c r="AH45" s="334">
        <f t="shared" si="90"/>
        <v>406.00079999999997</v>
      </c>
      <c r="AI45" s="334">
        <f t="shared" si="91"/>
        <v>0</v>
      </c>
      <c r="AJ45" s="334">
        <f t="shared" si="92"/>
        <v>0</v>
      </c>
      <c r="AK45" s="334">
        <f t="shared" si="93"/>
        <v>0</v>
      </c>
      <c r="AL45" s="334">
        <f t="shared" si="94"/>
        <v>0</v>
      </c>
      <c r="AM45" s="334">
        <f t="shared" si="95"/>
        <v>0</v>
      </c>
      <c r="AN45" s="334">
        <f t="shared" si="96"/>
        <v>0</v>
      </c>
      <c r="AO45" s="334">
        <f t="shared" si="97"/>
        <v>0</v>
      </c>
      <c r="AP45" s="334">
        <f t="shared" si="98"/>
        <v>406.00079999999997</v>
      </c>
      <c r="AQ45" s="308"/>
      <c r="AR45" s="334">
        <f t="shared" si="99"/>
        <v>406.00079999999997</v>
      </c>
      <c r="AS45" s="334">
        <f t="shared" si="100"/>
        <v>406.00079999999997</v>
      </c>
      <c r="AT45" s="334">
        <f t="shared" si="101"/>
        <v>406.00079999999997</v>
      </c>
      <c r="AU45" s="334">
        <f t="shared" si="102"/>
        <v>0</v>
      </c>
      <c r="AV45" s="334">
        <f t="shared" si="103"/>
        <v>0</v>
      </c>
      <c r="AW45" s="334">
        <f t="shared" si="104"/>
        <v>0</v>
      </c>
      <c r="AX45" s="334">
        <f t="shared" si="105"/>
        <v>0</v>
      </c>
      <c r="AY45" s="334">
        <f t="shared" si="106"/>
        <v>0</v>
      </c>
      <c r="AZ45" s="334">
        <f t="shared" si="107"/>
        <v>0</v>
      </c>
      <c r="BA45" s="334">
        <f t="shared" si="108"/>
        <v>0</v>
      </c>
      <c r="BB45" s="334">
        <f t="shared" si="109"/>
        <v>406.00079999999997</v>
      </c>
      <c r="BC45" s="11"/>
      <c r="BF45" s="33"/>
      <c r="BG45" s="33"/>
      <c r="BH45" s="33"/>
    </row>
    <row r="46" spans="1:60" s="16" customFormat="1" ht="12.95" customHeight="1" collapsed="1" thickTop="1" thickBot="1" x14ac:dyDescent="0.25">
      <c r="B46" s="26"/>
      <c r="C46" s="28" t="s">
        <v>61</v>
      </c>
      <c r="D46" s="28"/>
      <c r="E46" s="91"/>
      <c r="F46" s="50"/>
      <c r="G46" s="43"/>
      <c r="H46" s="471">
        <f>SUM(H40:H45)</f>
        <v>1330.9425739999999</v>
      </c>
      <c r="I46" s="335">
        <f t="shared" ref="I46" si="112">SUM(I40:I45)</f>
        <v>1330.9425739999999</v>
      </c>
      <c r="J46" s="335">
        <f t="shared" ref="J46" si="113">SUM(J40:J45)</f>
        <v>1330.9425739999999</v>
      </c>
      <c r="K46" s="335">
        <f t="shared" ref="K46" si="114">SUM(K40:K45)</f>
        <v>0</v>
      </c>
      <c r="L46" s="335">
        <f t="shared" ref="L46" si="115">SUM(L40:L45)</f>
        <v>0</v>
      </c>
      <c r="M46" s="335">
        <f t="shared" ref="M46" si="116">SUM(M40:M45)</f>
        <v>0</v>
      </c>
      <c r="N46" s="335">
        <f t="shared" ref="N46" si="117">SUM(N40:N45)</f>
        <v>0</v>
      </c>
      <c r="O46" s="335">
        <f t="shared" ref="O46" si="118">SUM(O40:O45)</f>
        <v>0</v>
      </c>
      <c r="P46" s="335">
        <f t="shared" ref="P46" si="119">SUM(P40:P45)</f>
        <v>0</v>
      </c>
      <c r="Q46" s="335">
        <f t="shared" ref="Q46" si="120">SUM(Q40:Q45)</f>
        <v>0</v>
      </c>
      <c r="R46" s="335">
        <f t="shared" si="77"/>
        <v>1330.9425739999999</v>
      </c>
      <c r="S46" s="308"/>
      <c r="T46" s="335">
        <f>SUM(T40:T45)</f>
        <v>1330.9425739999999</v>
      </c>
      <c r="U46" s="335">
        <f>SUM(U40:U45)</f>
        <v>1330.9425739999999</v>
      </c>
      <c r="V46" s="335">
        <f t="shared" ref="V46:AC46" si="121">SUM(V40:V45)</f>
        <v>1330.9425739999999</v>
      </c>
      <c r="W46" s="335">
        <f t="shared" si="121"/>
        <v>0</v>
      </c>
      <c r="X46" s="335">
        <f t="shared" si="121"/>
        <v>0</v>
      </c>
      <c r="Y46" s="335">
        <f t="shared" si="121"/>
        <v>0</v>
      </c>
      <c r="Z46" s="335">
        <f t="shared" si="121"/>
        <v>0</v>
      </c>
      <c r="AA46" s="335">
        <f t="shared" si="121"/>
        <v>0</v>
      </c>
      <c r="AB46" s="335">
        <f t="shared" si="121"/>
        <v>0</v>
      </c>
      <c r="AC46" s="335">
        <f t="shared" si="121"/>
        <v>0</v>
      </c>
      <c r="AD46" s="335">
        <f t="shared" si="87"/>
        <v>1330.9425739999999</v>
      </c>
      <c r="AE46" s="308"/>
      <c r="AF46" s="335">
        <f>SUM(AF40:AF45)</f>
        <v>15971.310887999998</v>
      </c>
      <c r="AG46" s="335">
        <f t="shared" ref="AG46:AO46" si="122">SUM(AG40:AG45)</f>
        <v>15971.310887999998</v>
      </c>
      <c r="AH46" s="335">
        <f t="shared" si="122"/>
        <v>15971.310887999998</v>
      </c>
      <c r="AI46" s="335">
        <f t="shared" si="122"/>
        <v>0</v>
      </c>
      <c r="AJ46" s="335">
        <f t="shared" si="122"/>
        <v>0</v>
      </c>
      <c r="AK46" s="335">
        <f t="shared" si="122"/>
        <v>0</v>
      </c>
      <c r="AL46" s="335">
        <f t="shared" si="122"/>
        <v>0</v>
      </c>
      <c r="AM46" s="335">
        <f t="shared" si="122"/>
        <v>0</v>
      </c>
      <c r="AN46" s="335">
        <f t="shared" si="122"/>
        <v>0</v>
      </c>
      <c r="AO46" s="335">
        <f t="shared" si="122"/>
        <v>0</v>
      </c>
      <c r="AP46" s="335">
        <f t="shared" si="98"/>
        <v>15971.310887999998</v>
      </c>
      <c r="AQ46" s="308"/>
      <c r="AR46" s="335">
        <f>SUM(AR40:AR45)</f>
        <v>15971.310887999998</v>
      </c>
      <c r="AS46" s="335">
        <f t="shared" ref="AS46:BA46" si="123">SUM(AS40:AS45)</f>
        <v>15971.310887999998</v>
      </c>
      <c r="AT46" s="335">
        <f t="shared" si="123"/>
        <v>15971.310887999998</v>
      </c>
      <c r="AU46" s="335">
        <f t="shared" si="123"/>
        <v>0</v>
      </c>
      <c r="AV46" s="335">
        <f t="shared" si="123"/>
        <v>0</v>
      </c>
      <c r="AW46" s="335">
        <f t="shared" si="123"/>
        <v>0</v>
      </c>
      <c r="AX46" s="335">
        <f t="shared" si="123"/>
        <v>0</v>
      </c>
      <c r="AY46" s="335">
        <f t="shared" si="123"/>
        <v>0</v>
      </c>
      <c r="AZ46" s="335">
        <f t="shared" si="123"/>
        <v>0</v>
      </c>
      <c r="BA46" s="335">
        <f t="shared" si="123"/>
        <v>0</v>
      </c>
      <c r="BB46" s="335">
        <f t="shared" si="109"/>
        <v>15971.310887999998</v>
      </c>
      <c r="BC46" s="11"/>
      <c r="BF46" s="33"/>
      <c r="BG46" s="33"/>
      <c r="BH46" s="33"/>
    </row>
    <row r="47" spans="1:60" s="16" customFormat="1" ht="12.95" customHeight="1" thickTop="1" thickBot="1" x14ac:dyDescent="0.25">
      <c r="B47" s="26"/>
      <c r="C47" s="26" t="s">
        <v>75</v>
      </c>
      <c r="D47" s="144" t="s">
        <v>174</v>
      </c>
      <c r="E47" s="152"/>
      <c r="F47" s="11"/>
      <c r="G47" s="467">
        <v>2</v>
      </c>
      <c r="H47" s="475">
        <f>(H27+H28)*VLOOKUP($G$47,'Tabellen PO-Raad'!$A$16:$C$22,3)</f>
        <v>222.37604999999996</v>
      </c>
      <c r="I47" s="333">
        <f>IF(I$20&lt;&gt;"[leeg]",(I27+I28)*VLOOKUP($G$47,'Tabellen PO-Raad'!$A$16:$C$22,3),0)</f>
        <v>222.37604999999996</v>
      </c>
      <c r="J47" s="333">
        <f>IF(J$20&lt;&gt;"[leeg]",(J27+J28)*VLOOKUP($G$47,'Tabellen PO-Raad'!$A$16:$C$22,3),0)</f>
        <v>222.37604999999996</v>
      </c>
      <c r="K47" s="333">
        <f>IF(K$20&lt;&gt;"[leeg]",(K27+K28)*VLOOKUP($G$47,'Tabellen PO-Raad'!$A$16:$C$22,3),0)</f>
        <v>0</v>
      </c>
      <c r="L47" s="333">
        <f>IF(L$20&lt;&gt;"[leeg]",(L27+L28)*VLOOKUP($G$47,'Tabellen PO-Raad'!$A$16:$C$22,3),0)</f>
        <v>0</v>
      </c>
      <c r="M47" s="333">
        <f>IF(M$20&lt;&gt;"[leeg]",(M27+M28)*VLOOKUP($G$47,'Tabellen PO-Raad'!$A$16:$C$22,3),0)</f>
        <v>0</v>
      </c>
      <c r="N47" s="333">
        <f>IF(N$20&lt;&gt;"[leeg]",(N27+N28)*VLOOKUP($G$47,'Tabellen PO-Raad'!$A$16:$C$22,3),0)</f>
        <v>0</v>
      </c>
      <c r="O47" s="333">
        <f>IF(O$20&lt;&gt;"[leeg]",(O27+O28)*VLOOKUP($G$47,'Tabellen PO-Raad'!$A$16:$C$22,3),0)</f>
        <v>0</v>
      </c>
      <c r="P47" s="333">
        <f>IF(P$20&lt;&gt;"[leeg]",(P27+P28)*VLOOKUP($G$47,'Tabellen PO-Raad'!$A$16:$C$22,3),0)</f>
        <v>0</v>
      </c>
      <c r="Q47" s="333">
        <f>IF(Q$20&lt;&gt;"[leeg]",(Q27+Q28)*VLOOKUP($G$47,'Tabellen PO-Raad'!$A$16:$C$22,3),0)</f>
        <v>0</v>
      </c>
      <c r="R47" s="333">
        <f t="shared" si="77"/>
        <v>222.37604999999996</v>
      </c>
      <c r="S47" s="308"/>
      <c r="T47" s="333">
        <f>(T27+T28)*VLOOKUP($G$47,'Tabellen PO-Raad'!$A$16:$C$22,3)</f>
        <v>201.79754999999997</v>
      </c>
      <c r="U47" s="333">
        <f>IF(U$20&lt;&gt;"[leeg]",(U27+U28)*VLOOKUP($G$47,'Tabellen PO-Raad'!$A$16:$C$22,3),0)</f>
        <v>201.79754999999997</v>
      </c>
      <c r="V47" s="333">
        <f>IF(V$20&lt;&gt;"[leeg]",(V27+V28)*VLOOKUP($G$47,'Tabellen PO-Raad'!$A$16:$C$22,3),0)</f>
        <v>201.79754999999997</v>
      </c>
      <c r="W47" s="333">
        <f>IF(W$20&lt;&gt;"[leeg]",(W27+W28)*VLOOKUP($G$47,'Tabellen PO-Raad'!$A$16:$C$22,3),0)</f>
        <v>0</v>
      </c>
      <c r="X47" s="333">
        <f>IF(X$20&lt;&gt;"[leeg]",(X27+X28)*VLOOKUP($G$47,'Tabellen PO-Raad'!$A$16:$C$22,3),0)</f>
        <v>0</v>
      </c>
      <c r="Y47" s="333">
        <f>IF(Y$20&lt;&gt;"[leeg]",(Y27+Y28)*VLOOKUP($G$47,'Tabellen PO-Raad'!$A$16:$C$22,3),0)</f>
        <v>0</v>
      </c>
      <c r="Z47" s="333">
        <f>IF(Z$20&lt;&gt;"[leeg]",(Z27+Z28)*VLOOKUP($G$47,'Tabellen PO-Raad'!$A$16:$C$22,3),0)</f>
        <v>0</v>
      </c>
      <c r="AA47" s="333">
        <f>IF(AA$20&lt;&gt;"[leeg]",(AA27+AA28)*VLOOKUP($G$47,'Tabellen PO-Raad'!$A$16:$C$22,3),0)</f>
        <v>0</v>
      </c>
      <c r="AB47" s="333">
        <f>IF(AB$20&lt;&gt;"[leeg]",(AB27+AB28)*VLOOKUP($G$47,'Tabellen PO-Raad'!$A$16:$C$22,3),0)</f>
        <v>0</v>
      </c>
      <c r="AC47" s="333">
        <f>IF(AC$20&lt;&gt;"[leeg]",(AC27+AC28)*VLOOKUP($G$47,'Tabellen PO-Raad'!$A$16:$C$22,3),0)</f>
        <v>0</v>
      </c>
      <c r="AD47" s="333">
        <f t="shared" si="87"/>
        <v>201.79754999999997</v>
      </c>
      <c r="AE47" s="308"/>
      <c r="AF47" s="333">
        <f>H47*12</f>
        <v>2668.5125999999996</v>
      </c>
      <c r="AG47" s="333">
        <f t="shared" ref="AG47:AO48" si="124">I47*12</f>
        <v>2668.5125999999996</v>
      </c>
      <c r="AH47" s="333">
        <f t="shared" si="124"/>
        <v>2668.5125999999996</v>
      </c>
      <c r="AI47" s="333">
        <f t="shared" si="124"/>
        <v>0</v>
      </c>
      <c r="AJ47" s="333">
        <f t="shared" si="124"/>
        <v>0</v>
      </c>
      <c r="AK47" s="333">
        <f t="shared" si="124"/>
        <v>0</v>
      </c>
      <c r="AL47" s="333">
        <f t="shared" si="124"/>
        <v>0</v>
      </c>
      <c r="AM47" s="333">
        <f t="shared" si="124"/>
        <v>0</v>
      </c>
      <c r="AN47" s="333">
        <f t="shared" si="124"/>
        <v>0</v>
      </c>
      <c r="AO47" s="333">
        <f t="shared" si="124"/>
        <v>0</v>
      </c>
      <c r="AP47" s="336">
        <f t="shared" si="98"/>
        <v>2668.5125999999996</v>
      </c>
      <c r="AQ47" s="308"/>
      <c r="AR47" s="333">
        <f>T47*12</f>
        <v>2421.5705999999996</v>
      </c>
      <c r="AS47" s="333">
        <f t="shared" ref="AS47:BA48" si="125">U47*12</f>
        <v>2421.5705999999996</v>
      </c>
      <c r="AT47" s="333">
        <f t="shared" si="125"/>
        <v>2421.5705999999996</v>
      </c>
      <c r="AU47" s="333">
        <f t="shared" si="125"/>
        <v>0</v>
      </c>
      <c r="AV47" s="333">
        <f t="shared" si="125"/>
        <v>0</v>
      </c>
      <c r="AW47" s="333">
        <f t="shared" si="125"/>
        <v>0</v>
      </c>
      <c r="AX47" s="333">
        <f t="shared" si="125"/>
        <v>0</v>
      </c>
      <c r="AY47" s="333">
        <f t="shared" si="125"/>
        <v>0</v>
      </c>
      <c r="AZ47" s="333">
        <f t="shared" si="125"/>
        <v>0</v>
      </c>
      <c r="BA47" s="333">
        <f t="shared" si="125"/>
        <v>0</v>
      </c>
      <c r="BB47" s="336">
        <f t="shared" si="109"/>
        <v>2421.5705999999996</v>
      </c>
      <c r="BC47" s="11"/>
      <c r="BF47" s="33"/>
      <c r="BG47" s="33"/>
      <c r="BH47" s="33"/>
    </row>
    <row r="48" spans="1:60" s="16" customFormat="1" ht="12.95" customHeight="1" thickTop="1" thickBot="1" x14ac:dyDescent="0.25">
      <c r="B48" s="26"/>
      <c r="C48" s="26" t="s">
        <v>223</v>
      </c>
      <c r="D48" s="26"/>
      <c r="E48" s="17"/>
      <c r="F48" s="27"/>
      <c r="G48" s="26"/>
      <c r="H48" s="476">
        <v>0</v>
      </c>
      <c r="I48" s="468">
        <v>0</v>
      </c>
      <c r="J48" s="468">
        <v>0</v>
      </c>
      <c r="K48" s="468">
        <v>0</v>
      </c>
      <c r="L48" s="468">
        <v>0</v>
      </c>
      <c r="M48" s="468">
        <v>0</v>
      </c>
      <c r="N48" s="468">
        <v>0</v>
      </c>
      <c r="O48" s="468">
        <v>0</v>
      </c>
      <c r="P48" s="468">
        <v>0</v>
      </c>
      <c r="Q48" s="468">
        <v>0</v>
      </c>
      <c r="R48" s="333">
        <f t="shared" si="77"/>
        <v>0</v>
      </c>
      <c r="S48" s="308"/>
      <c r="T48" s="333">
        <v>0</v>
      </c>
      <c r="U48" s="333">
        <v>0</v>
      </c>
      <c r="V48" s="333">
        <v>0</v>
      </c>
      <c r="W48" s="333">
        <v>0</v>
      </c>
      <c r="X48" s="333">
        <v>0</v>
      </c>
      <c r="Y48" s="333">
        <v>0</v>
      </c>
      <c r="Z48" s="333">
        <v>0</v>
      </c>
      <c r="AA48" s="333">
        <v>0</v>
      </c>
      <c r="AB48" s="333">
        <v>0</v>
      </c>
      <c r="AC48" s="333">
        <v>0</v>
      </c>
      <c r="AD48" s="333">
        <f t="shared" si="87"/>
        <v>0</v>
      </c>
      <c r="AE48" s="308"/>
      <c r="AF48" s="333">
        <f>H48*12</f>
        <v>0</v>
      </c>
      <c r="AG48" s="333">
        <f t="shared" si="124"/>
        <v>0</v>
      </c>
      <c r="AH48" s="333">
        <f t="shared" si="124"/>
        <v>0</v>
      </c>
      <c r="AI48" s="333">
        <f t="shared" si="124"/>
        <v>0</v>
      </c>
      <c r="AJ48" s="333">
        <f t="shared" si="124"/>
        <v>0</v>
      </c>
      <c r="AK48" s="333">
        <f t="shared" si="124"/>
        <v>0</v>
      </c>
      <c r="AL48" s="333">
        <f t="shared" si="124"/>
        <v>0</v>
      </c>
      <c r="AM48" s="333">
        <f t="shared" si="124"/>
        <v>0</v>
      </c>
      <c r="AN48" s="333">
        <f t="shared" si="124"/>
        <v>0</v>
      </c>
      <c r="AO48" s="333">
        <f t="shared" si="124"/>
        <v>0</v>
      </c>
      <c r="AP48" s="333">
        <f t="shared" si="98"/>
        <v>0</v>
      </c>
      <c r="AQ48" s="308"/>
      <c r="AR48" s="333">
        <f t="shared" ref="AR48" si="126">T48*12</f>
        <v>0</v>
      </c>
      <c r="AS48" s="333">
        <f t="shared" si="125"/>
        <v>0</v>
      </c>
      <c r="AT48" s="333">
        <f t="shared" si="125"/>
        <v>0</v>
      </c>
      <c r="AU48" s="333">
        <f t="shared" si="125"/>
        <v>0</v>
      </c>
      <c r="AV48" s="333">
        <f t="shared" si="125"/>
        <v>0</v>
      </c>
      <c r="AW48" s="333">
        <f t="shared" si="125"/>
        <v>0</v>
      </c>
      <c r="AX48" s="333">
        <f t="shared" si="125"/>
        <v>0</v>
      </c>
      <c r="AY48" s="333">
        <f t="shared" si="125"/>
        <v>0</v>
      </c>
      <c r="AZ48" s="333">
        <f t="shared" si="125"/>
        <v>0</v>
      </c>
      <c r="BA48" s="333">
        <f t="shared" si="125"/>
        <v>0</v>
      </c>
      <c r="BB48" s="333">
        <f t="shared" si="109"/>
        <v>0</v>
      </c>
      <c r="BC48" s="11"/>
      <c r="BF48" s="33"/>
      <c r="BG48" s="33"/>
      <c r="BH48" s="33"/>
    </row>
    <row r="49" spans="1:60" s="16" customFormat="1" ht="12.95" customHeight="1" thickTop="1" thickBot="1" x14ac:dyDescent="0.25">
      <c r="B49" s="26"/>
      <c r="C49" s="26" t="s">
        <v>59</v>
      </c>
      <c r="D49" s="26"/>
      <c r="E49" s="17"/>
      <c r="F49" s="27"/>
      <c r="G49" s="26"/>
      <c r="H49" s="475">
        <f>(H27+H28)*'Tabellen PO-Raad'!$C$23</f>
        <v>118.60055999999999</v>
      </c>
      <c r="I49" s="333">
        <f>IF(I$20&lt;&gt;"[leeg]",(I27+I28)*'Tabellen PO-Raad'!$C$23,0)</f>
        <v>118.60055999999999</v>
      </c>
      <c r="J49" s="333">
        <f>IF(J$20&lt;&gt;"[leeg]",(J27+J28)*'Tabellen PO-Raad'!$C$23,0)</f>
        <v>118.60055999999999</v>
      </c>
      <c r="K49" s="333">
        <f>IF(K$20&lt;&gt;"[leeg]",(K27+K28)*'Tabellen PO-Raad'!$C$23,0)</f>
        <v>0</v>
      </c>
      <c r="L49" s="333">
        <f>IF(L$20&lt;&gt;"[leeg]",(L27+L28)*'Tabellen PO-Raad'!$C$23,0)</f>
        <v>0</v>
      </c>
      <c r="M49" s="333">
        <f>IF(M$20&lt;&gt;"[leeg]",(M27+M28)*'Tabellen PO-Raad'!$C$23,0)</f>
        <v>0</v>
      </c>
      <c r="N49" s="333">
        <f>IF(N$20&lt;&gt;"[leeg]",(N27+N28)*'Tabellen PO-Raad'!$C$23,0)</f>
        <v>0</v>
      </c>
      <c r="O49" s="333">
        <f>IF(O$20&lt;&gt;"[leeg]",(O27+O28)*'Tabellen PO-Raad'!$C$23,0)</f>
        <v>0</v>
      </c>
      <c r="P49" s="333">
        <f>IF(P$20&lt;&gt;"[leeg]",(P27+P28)*'Tabellen PO-Raad'!$C$23,0)</f>
        <v>0</v>
      </c>
      <c r="Q49" s="333">
        <f>IF(Q$20&lt;&gt;"[leeg]",(Q27+Q28)*'Tabellen PO-Raad'!$C$23,0)</f>
        <v>0</v>
      </c>
      <c r="R49" s="333">
        <f t="shared" si="77"/>
        <v>118.60055999999999</v>
      </c>
      <c r="S49" s="308"/>
      <c r="T49" s="333">
        <f>(T27+T28)*'Tabellen PO-Raad'!$C$23</f>
        <v>107.62535999999999</v>
      </c>
      <c r="U49" s="333">
        <f>IF(U$20&lt;&gt;"[leeg]",(T27+T28)*'Tabellen PO-Raad'!$C$23,0)</f>
        <v>107.62535999999999</v>
      </c>
      <c r="V49" s="333">
        <f>IF(V$20&lt;&gt;"[leeg]",(U27+U28)*'Tabellen PO-Raad'!$C$23,0)</f>
        <v>107.62535999999999</v>
      </c>
      <c r="W49" s="333">
        <f>IF(W$20&lt;&gt;"[leeg]",(V27+V28)*'Tabellen PO-Raad'!$C$23,0)</f>
        <v>0</v>
      </c>
      <c r="X49" s="333">
        <f>IF(X$20&lt;&gt;"[leeg]",(W27+W28)*'Tabellen PO-Raad'!$C$23,0)</f>
        <v>0</v>
      </c>
      <c r="Y49" s="333">
        <f>IF(Y$20&lt;&gt;"[leeg]",(X27+X28)*'Tabellen PO-Raad'!$C$23,0)</f>
        <v>0</v>
      </c>
      <c r="Z49" s="333">
        <f>IF(Z$20&lt;&gt;"[leeg]",(Y27+Y28)*'Tabellen PO-Raad'!$C$23,0)</f>
        <v>0</v>
      </c>
      <c r="AA49" s="333">
        <f>IF(AA$20&lt;&gt;"[leeg]",(Z27+Z28)*'Tabellen PO-Raad'!$C$23,0)</f>
        <v>0</v>
      </c>
      <c r="AB49" s="333">
        <f>IF(AB$20&lt;&gt;"[leeg]",(AA27+AA28)*'Tabellen PO-Raad'!$C$23,0)</f>
        <v>0</v>
      </c>
      <c r="AC49" s="333">
        <f>IF(AC$20&lt;&gt;"[leeg]",(AB27+AB28)*'Tabellen PO-Raad'!$C$23,0)</f>
        <v>0</v>
      </c>
      <c r="AD49" s="333">
        <f t="shared" si="87"/>
        <v>107.62535999999999</v>
      </c>
      <c r="AE49" s="308"/>
      <c r="AF49" s="333">
        <f>H49*12</f>
        <v>1423.2067199999999</v>
      </c>
      <c r="AG49" s="333">
        <f t="shared" ref="AG49:AO49" si="127">I49*12</f>
        <v>1423.2067199999999</v>
      </c>
      <c r="AH49" s="333">
        <f t="shared" si="127"/>
        <v>1423.2067199999999</v>
      </c>
      <c r="AI49" s="333">
        <f t="shared" si="127"/>
        <v>0</v>
      </c>
      <c r="AJ49" s="333">
        <f t="shared" si="127"/>
        <v>0</v>
      </c>
      <c r="AK49" s="333">
        <f t="shared" si="127"/>
        <v>0</v>
      </c>
      <c r="AL49" s="333">
        <f t="shared" si="127"/>
        <v>0</v>
      </c>
      <c r="AM49" s="333">
        <f t="shared" si="127"/>
        <v>0</v>
      </c>
      <c r="AN49" s="333">
        <f t="shared" si="127"/>
        <v>0</v>
      </c>
      <c r="AO49" s="333">
        <f t="shared" si="127"/>
        <v>0</v>
      </c>
      <c r="AP49" s="333">
        <f t="shared" si="98"/>
        <v>1423.2067199999999</v>
      </c>
      <c r="AQ49" s="308"/>
      <c r="AR49" s="333">
        <f>T49*12</f>
        <v>1291.5043199999998</v>
      </c>
      <c r="AS49" s="333">
        <f t="shared" ref="AS49:BA49" si="128">U49*12</f>
        <v>1291.5043199999998</v>
      </c>
      <c r="AT49" s="333">
        <f t="shared" si="128"/>
        <v>1291.5043199999998</v>
      </c>
      <c r="AU49" s="333">
        <f t="shared" si="128"/>
        <v>0</v>
      </c>
      <c r="AV49" s="333">
        <f t="shared" si="128"/>
        <v>0</v>
      </c>
      <c r="AW49" s="333">
        <f t="shared" si="128"/>
        <v>0</v>
      </c>
      <c r="AX49" s="333">
        <f t="shared" si="128"/>
        <v>0</v>
      </c>
      <c r="AY49" s="333">
        <f t="shared" si="128"/>
        <v>0</v>
      </c>
      <c r="AZ49" s="333">
        <f t="shared" si="128"/>
        <v>0</v>
      </c>
      <c r="BA49" s="333">
        <f t="shared" si="128"/>
        <v>0</v>
      </c>
      <c r="BB49" s="333">
        <f t="shared" si="109"/>
        <v>1291.5043199999998</v>
      </c>
      <c r="BC49" s="11"/>
      <c r="BF49" s="33"/>
      <c r="BG49" s="33"/>
      <c r="BH49" s="33"/>
    </row>
    <row r="50" spans="1:60" s="16" customFormat="1" ht="12.95" customHeight="1" collapsed="1" thickTop="1" thickBot="1" x14ac:dyDescent="0.25">
      <c r="B50" s="26"/>
      <c r="C50" s="28" t="s">
        <v>197</v>
      </c>
      <c r="D50" s="28"/>
      <c r="E50" s="91"/>
      <c r="F50" s="27"/>
      <c r="G50" s="26"/>
      <c r="H50" s="471">
        <f>SUM(H47:H49)</f>
        <v>340.97660999999994</v>
      </c>
      <c r="I50" s="335">
        <f t="shared" ref="I50" si="129">SUM(I47:I49)</f>
        <v>340.97660999999994</v>
      </c>
      <c r="J50" s="335">
        <f t="shared" ref="J50" si="130">SUM(J47:J49)</f>
        <v>340.97660999999994</v>
      </c>
      <c r="K50" s="335">
        <f t="shared" ref="K50" si="131">SUM(K47:K49)</f>
        <v>0</v>
      </c>
      <c r="L50" s="335">
        <f t="shared" ref="L50" si="132">SUM(L47:L49)</f>
        <v>0</v>
      </c>
      <c r="M50" s="335">
        <f t="shared" ref="M50" si="133">SUM(M47:M49)</f>
        <v>0</v>
      </c>
      <c r="N50" s="335">
        <f t="shared" ref="N50" si="134">SUM(N47:N49)</f>
        <v>0</v>
      </c>
      <c r="O50" s="335">
        <f t="shared" ref="O50" si="135">SUM(O47:O49)</f>
        <v>0</v>
      </c>
      <c r="P50" s="335">
        <f t="shared" ref="P50" si="136">SUM(P47:P49)</f>
        <v>0</v>
      </c>
      <c r="Q50" s="335">
        <f t="shared" ref="Q50" si="137">SUM(Q47:Q49)</f>
        <v>0</v>
      </c>
      <c r="R50" s="335">
        <f t="shared" si="77"/>
        <v>340.97660999999994</v>
      </c>
      <c r="S50" s="308"/>
      <c r="T50" s="335">
        <f>SUM(T47:T49)</f>
        <v>309.42290999999994</v>
      </c>
      <c r="U50" s="335">
        <f>SUM(U47:U49)</f>
        <v>309.42290999999994</v>
      </c>
      <c r="V50" s="335">
        <f t="shared" ref="V50:AC50" si="138">SUM(V47:V49)</f>
        <v>309.42290999999994</v>
      </c>
      <c r="W50" s="335">
        <f t="shared" si="138"/>
        <v>0</v>
      </c>
      <c r="X50" s="335">
        <f t="shared" si="138"/>
        <v>0</v>
      </c>
      <c r="Y50" s="335">
        <f t="shared" si="138"/>
        <v>0</v>
      </c>
      <c r="Z50" s="335">
        <f t="shared" si="138"/>
        <v>0</v>
      </c>
      <c r="AA50" s="335">
        <f t="shared" si="138"/>
        <v>0</v>
      </c>
      <c r="AB50" s="335">
        <f t="shared" si="138"/>
        <v>0</v>
      </c>
      <c r="AC50" s="335">
        <f t="shared" si="138"/>
        <v>0</v>
      </c>
      <c r="AD50" s="335">
        <f t="shared" si="87"/>
        <v>309.42290999999994</v>
      </c>
      <c r="AE50" s="308"/>
      <c r="AF50" s="335">
        <f>SUM(AF47:AF49)</f>
        <v>4091.7193199999992</v>
      </c>
      <c r="AG50" s="335">
        <f>SUM(AG47:AG49)</f>
        <v>4091.7193199999992</v>
      </c>
      <c r="AH50" s="335">
        <f t="shared" ref="AH50:AO50" si="139">SUM(AH47:AH49)</f>
        <v>4091.7193199999992</v>
      </c>
      <c r="AI50" s="335">
        <f t="shared" si="139"/>
        <v>0</v>
      </c>
      <c r="AJ50" s="335">
        <f t="shared" si="139"/>
        <v>0</v>
      </c>
      <c r="AK50" s="335">
        <f t="shared" si="139"/>
        <v>0</v>
      </c>
      <c r="AL50" s="335">
        <f t="shared" si="139"/>
        <v>0</v>
      </c>
      <c r="AM50" s="335">
        <f t="shared" si="139"/>
        <v>0</v>
      </c>
      <c r="AN50" s="335">
        <f t="shared" si="139"/>
        <v>0</v>
      </c>
      <c r="AO50" s="335">
        <f t="shared" si="139"/>
        <v>0</v>
      </c>
      <c r="AP50" s="335">
        <f t="shared" si="98"/>
        <v>4091.7193199999992</v>
      </c>
      <c r="AQ50" s="308"/>
      <c r="AR50" s="335">
        <f>SUM(AR47:AR49)</f>
        <v>3713.0749199999991</v>
      </c>
      <c r="AS50" s="335">
        <f t="shared" ref="AS50:BA50" si="140">SUM(AS47:AS49)</f>
        <v>3713.0749199999991</v>
      </c>
      <c r="AT50" s="335">
        <f t="shared" si="140"/>
        <v>3713.0749199999991</v>
      </c>
      <c r="AU50" s="335">
        <f t="shared" si="140"/>
        <v>0</v>
      </c>
      <c r="AV50" s="335">
        <f t="shared" si="140"/>
        <v>0</v>
      </c>
      <c r="AW50" s="335">
        <f t="shared" si="140"/>
        <v>0</v>
      </c>
      <c r="AX50" s="335">
        <f t="shared" si="140"/>
        <v>0</v>
      </c>
      <c r="AY50" s="335">
        <f t="shared" si="140"/>
        <v>0</v>
      </c>
      <c r="AZ50" s="335">
        <f t="shared" si="140"/>
        <v>0</v>
      </c>
      <c r="BA50" s="335">
        <f t="shared" si="140"/>
        <v>0</v>
      </c>
      <c r="BB50" s="335">
        <f t="shared" si="109"/>
        <v>3713.0749199999991</v>
      </c>
      <c r="BC50" s="11"/>
      <c r="BF50" s="33"/>
      <c r="BG50" s="33"/>
      <c r="BH50" s="33"/>
    </row>
    <row r="51" spans="1:60" s="16" customFormat="1" ht="12.95" customHeight="1" thickTop="1" thickBot="1" x14ac:dyDescent="0.25">
      <c r="B51" s="26"/>
      <c r="C51" s="28" t="s">
        <v>335</v>
      </c>
      <c r="D51" s="28"/>
      <c r="E51" s="91"/>
      <c r="F51" s="27"/>
      <c r="G51" s="26"/>
      <c r="H51" s="335">
        <f>H46+H50</f>
        <v>1671.9191839999999</v>
      </c>
      <c r="I51" s="335">
        <f t="shared" ref="I51:R51" si="141">I46+I50</f>
        <v>1671.9191839999999</v>
      </c>
      <c r="J51" s="335">
        <f t="shared" si="141"/>
        <v>1671.9191839999999</v>
      </c>
      <c r="K51" s="335">
        <f t="shared" si="141"/>
        <v>0</v>
      </c>
      <c r="L51" s="335">
        <f t="shared" si="141"/>
        <v>0</v>
      </c>
      <c r="M51" s="335">
        <f t="shared" si="141"/>
        <v>0</v>
      </c>
      <c r="N51" s="335">
        <f t="shared" si="141"/>
        <v>0</v>
      </c>
      <c r="O51" s="335">
        <f t="shared" si="141"/>
        <v>0</v>
      </c>
      <c r="P51" s="335">
        <f t="shared" si="141"/>
        <v>0</v>
      </c>
      <c r="Q51" s="335">
        <f t="shared" si="141"/>
        <v>0</v>
      </c>
      <c r="R51" s="335">
        <f t="shared" si="141"/>
        <v>1671.9191839999999</v>
      </c>
      <c r="S51" s="308"/>
      <c r="T51" s="335">
        <f>T46+T50</f>
        <v>1640.3654839999999</v>
      </c>
      <c r="U51" s="335">
        <f t="shared" ref="U51" si="142">U46+U50</f>
        <v>1640.3654839999999</v>
      </c>
      <c r="V51" s="335">
        <f t="shared" ref="V51" si="143">V46+V50</f>
        <v>1640.3654839999999</v>
      </c>
      <c r="W51" s="335">
        <f t="shared" ref="W51" si="144">W46+W50</f>
        <v>0</v>
      </c>
      <c r="X51" s="335">
        <f t="shared" ref="X51" si="145">X46+X50</f>
        <v>0</v>
      </c>
      <c r="Y51" s="335">
        <f t="shared" ref="Y51" si="146">Y46+Y50</f>
        <v>0</v>
      </c>
      <c r="Z51" s="335">
        <f t="shared" ref="Z51" si="147">Z46+Z50</f>
        <v>0</v>
      </c>
      <c r="AA51" s="335">
        <f t="shared" ref="AA51" si="148">AA46+AA50</f>
        <v>0</v>
      </c>
      <c r="AB51" s="335">
        <f t="shared" ref="AB51" si="149">AB46+AB50</f>
        <v>0</v>
      </c>
      <c r="AC51" s="335">
        <f t="shared" ref="AC51" si="150">AC46+AC50</f>
        <v>0</v>
      </c>
      <c r="AD51" s="335">
        <f t="shared" ref="AD51" si="151">AD46+AD50</f>
        <v>1640.3654839999999</v>
      </c>
      <c r="AE51" s="308"/>
      <c r="AF51" s="335">
        <f>AF46+AF50</f>
        <v>20063.030207999996</v>
      </c>
      <c r="AG51" s="335">
        <f t="shared" ref="AG51" si="152">AG46+AG50</f>
        <v>20063.030207999996</v>
      </c>
      <c r="AH51" s="335">
        <f t="shared" ref="AH51" si="153">AH46+AH50</f>
        <v>20063.030207999996</v>
      </c>
      <c r="AI51" s="335">
        <f t="shared" ref="AI51" si="154">AI46+AI50</f>
        <v>0</v>
      </c>
      <c r="AJ51" s="335">
        <f t="shared" ref="AJ51" si="155">AJ46+AJ50</f>
        <v>0</v>
      </c>
      <c r="AK51" s="335">
        <f t="shared" ref="AK51" si="156">AK46+AK50</f>
        <v>0</v>
      </c>
      <c r="AL51" s="335">
        <f t="shared" ref="AL51" si="157">AL46+AL50</f>
        <v>0</v>
      </c>
      <c r="AM51" s="335">
        <f t="shared" ref="AM51" si="158">AM46+AM50</f>
        <v>0</v>
      </c>
      <c r="AN51" s="335">
        <f t="shared" ref="AN51" si="159">AN46+AN50</f>
        <v>0</v>
      </c>
      <c r="AO51" s="335">
        <f t="shared" ref="AO51" si="160">AO46+AO50</f>
        <v>0</v>
      </c>
      <c r="AP51" s="335">
        <f t="shared" ref="AP51" si="161">AP46+AP50</f>
        <v>20063.030207999996</v>
      </c>
      <c r="AQ51" s="308"/>
      <c r="AR51" s="335">
        <f>AR46+AR50</f>
        <v>19684.385807999999</v>
      </c>
      <c r="AS51" s="335">
        <f t="shared" ref="AS51" si="162">AS46+AS50</f>
        <v>19684.385807999999</v>
      </c>
      <c r="AT51" s="335">
        <f t="shared" ref="AT51" si="163">AT46+AT50</f>
        <v>19684.385807999999</v>
      </c>
      <c r="AU51" s="335">
        <f t="shared" ref="AU51" si="164">AU46+AU50</f>
        <v>0</v>
      </c>
      <c r="AV51" s="335">
        <f t="shared" ref="AV51" si="165">AV46+AV50</f>
        <v>0</v>
      </c>
      <c r="AW51" s="335">
        <f t="shared" ref="AW51" si="166">AW46+AW50</f>
        <v>0</v>
      </c>
      <c r="AX51" s="335">
        <f t="shared" ref="AX51" si="167">AX46+AX50</f>
        <v>0</v>
      </c>
      <c r="AY51" s="335">
        <f t="shared" ref="AY51" si="168">AY46+AY50</f>
        <v>0</v>
      </c>
      <c r="AZ51" s="335">
        <f t="shared" ref="AZ51" si="169">AZ46+AZ50</f>
        <v>0</v>
      </c>
      <c r="BA51" s="335">
        <f t="shared" ref="BA51" si="170">BA46+BA50</f>
        <v>0</v>
      </c>
      <c r="BB51" s="335">
        <f t="shared" ref="BB51" si="171">BB46+BB50</f>
        <v>19684.385807999999</v>
      </c>
      <c r="BC51" s="11"/>
      <c r="BF51" s="33"/>
      <c r="BG51" s="33"/>
      <c r="BH51" s="33"/>
    </row>
    <row r="52" spans="1:60" s="16" customFormat="1" ht="12.95" customHeight="1" thickTop="1" x14ac:dyDescent="0.2">
      <c r="B52" s="26"/>
      <c r="C52" s="28"/>
      <c r="D52" s="28"/>
      <c r="E52" s="91"/>
      <c r="F52" s="27"/>
      <c r="G52" s="26"/>
      <c r="H52" s="312"/>
      <c r="I52" s="312"/>
      <c r="J52" s="312"/>
      <c r="K52" s="312"/>
      <c r="L52" s="312"/>
      <c r="M52" s="312"/>
      <c r="N52" s="312"/>
      <c r="O52" s="312"/>
      <c r="P52" s="312"/>
      <c r="Q52" s="312"/>
      <c r="R52" s="312"/>
      <c r="S52" s="308"/>
      <c r="T52" s="312"/>
      <c r="U52" s="312"/>
      <c r="V52" s="312"/>
      <c r="W52" s="312"/>
      <c r="X52" s="312"/>
      <c r="Y52" s="312"/>
      <c r="Z52" s="312"/>
      <c r="AA52" s="312"/>
      <c r="AB52" s="312"/>
      <c r="AC52" s="312"/>
      <c r="AD52" s="312"/>
      <c r="AE52" s="308"/>
      <c r="AF52" s="312"/>
      <c r="AG52" s="312"/>
      <c r="AH52" s="312"/>
      <c r="AI52" s="312"/>
      <c r="AJ52" s="312"/>
      <c r="AK52" s="312"/>
      <c r="AL52" s="312"/>
      <c r="AM52" s="312"/>
      <c r="AN52" s="312"/>
      <c r="AO52" s="312"/>
      <c r="AP52" s="312"/>
      <c r="AQ52" s="308"/>
      <c r="AR52" s="312"/>
      <c r="AS52" s="312"/>
      <c r="AT52" s="312"/>
      <c r="AU52" s="312"/>
      <c r="AV52" s="312"/>
      <c r="AW52" s="312"/>
      <c r="AX52" s="312"/>
      <c r="AY52" s="312"/>
      <c r="AZ52" s="312"/>
      <c r="BA52" s="312"/>
      <c r="BB52" s="312"/>
      <c r="BC52" s="11"/>
      <c r="BF52" s="33"/>
      <c r="BG52" s="33"/>
      <c r="BH52" s="33"/>
    </row>
    <row r="53" spans="1:60" s="16" customFormat="1" ht="12.95" customHeight="1" thickBot="1" x14ac:dyDescent="0.25">
      <c r="B53" s="26"/>
      <c r="C53" s="43" t="s">
        <v>74</v>
      </c>
      <c r="D53" s="43"/>
      <c r="E53" s="17"/>
      <c r="F53" s="27"/>
      <c r="G53" s="26"/>
      <c r="H53" s="312"/>
      <c r="I53" s="312"/>
      <c r="J53" s="312"/>
      <c r="K53" s="312"/>
      <c r="L53" s="312"/>
      <c r="M53" s="312"/>
      <c r="N53" s="312"/>
      <c r="O53" s="312"/>
      <c r="P53" s="312"/>
      <c r="Q53" s="312"/>
      <c r="R53" s="312"/>
      <c r="S53" s="308"/>
      <c r="T53" s="312"/>
      <c r="U53" s="312"/>
      <c r="V53" s="312"/>
      <c r="W53" s="312"/>
      <c r="X53" s="312"/>
      <c r="Y53" s="312"/>
      <c r="Z53" s="312"/>
      <c r="AA53" s="312"/>
      <c r="AB53" s="312"/>
      <c r="AC53" s="312"/>
      <c r="AD53" s="312"/>
      <c r="AE53" s="308"/>
      <c r="AF53" s="312"/>
      <c r="AG53" s="312"/>
      <c r="AH53" s="312"/>
      <c r="AI53" s="312"/>
      <c r="AJ53" s="312"/>
      <c r="AK53" s="312"/>
      <c r="AL53" s="312"/>
      <c r="AM53" s="312"/>
      <c r="AN53" s="312"/>
      <c r="AO53" s="312"/>
      <c r="AP53" s="312"/>
      <c r="AQ53" s="308"/>
      <c r="AR53" s="312"/>
      <c r="AS53" s="312"/>
      <c r="AT53" s="312"/>
      <c r="AU53" s="312"/>
      <c r="AV53" s="312"/>
      <c r="AW53" s="312"/>
      <c r="AX53" s="312"/>
      <c r="AY53" s="312"/>
      <c r="AZ53" s="312"/>
      <c r="BA53" s="312"/>
      <c r="BB53" s="312"/>
      <c r="BC53" s="11"/>
      <c r="BF53" s="33"/>
      <c r="BG53" s="33"/>
      <c r="BH53" s="33"/>
    </row>
    <row r="54" spans="1:60" s="16" customFormat="1" ht="12.95" customHeight="1" thickTop="1" thickBot="1" x14ac:dyDescent="0.25">
      <c r="B54" s="26"/>
      <c r="C54" s="26" t="s">
        <v>70</v>
      </c>
      <c r="D54" s="26"/>
      <c r="E54" s="17"/>
      <c r="F54" s="27"/>
      <c r="G54" s="26"/>
      <c r="H54" s="333"/>
      <c r="I54" s="333"/>
      <c r="J54" s="333"/>
      <c r="K54" s="333"/>
      <c r="L54" s="333"/>
      <c r="M54" s="333"/>
      <c r="N54" s="333"/>
      <c r="O54" s="333"/>
      <c r="P54" s="333"/>
      <c r="Q54" s="333"/>
      <c r="R54" s="333">
        <f t="shared" ref="R54:R61" si="172">H54*H$26+I54*I$26+J54*J$26+K54*K$26+L54*L$26+M54*M$26+N54*N$26+O54*O$26+P54*P$26+Q54*Q$26</f>
        <v>0</v>
      </c>
      <c r="S54" s="308"/>
      <c r="T54" s="333">
        <v>0</v>
      </c>
      <c r="U54" s="333">
        <v>0</v>
      </c>
      <c r="V54" s="333">
        <v>0</v>
      </c>
      <c r="W54" s="333">
        <v>0</v>
      </c>
      <c r="X54" s="333">
        <v>0</v>
      </c>
      <c r="Y54" s="333">
        <v>0</v>
      </c>
      <c r="Z54" s="333">
        <v>0</v>
      </c>
      <c r="AA54" s="333">
        <v>0</v>
      </c>
      <c r="AB54" s="333">
        <v>0</v>
      </c>
      <c r="AC54" s="333">
        <v>0</v>
      </c>
      <c r="AD54" s="333">
        <v>0</v>
      </c>
      <c r="AE54" s="308"/>
      <c r="AF54" s="333">
        <f>H54*12</f>
        <v>0</v>
      </c>
      <c r="AG54" s="333">
        <f t="shared" ref="AG54:AO54" si="173">I54*12</f>
        <v>0</v>
      </c>
      <c r="AH54" s="333">
        <f t="shared" si="173"/>
        <v>0</v>
      </c>
      <c r="AI54" s="333">
        <f t="shared" si="173"/>
        <v>0</v>
      </c>
      <c r="AJ54" s="333">
        <f t="shared" si="173"/>
        <v>0</v>
      </c>
      <c r="AK54" s="333">
        <f t="shared" si="173"/>
        <v>0</v>
      </c>
      <c r="AL54" s="333">
        <f t="shared" si="173"/>
        <v>0</v>
      </c>
      <c r="AM54" s="333">
        <f t="shared" si="173"/>
        <v>0</v>
      </c>
      <c r="AN54" s="333">
        <f t="shared" si="173"/>
        <v>0</v>
      </c>
      <c r="AO54" s="333">
        <f t="shared" si="173"/>
        <v>0</v>
      </c>
      <c r="AP54" s="337">
        <f t="shared" ref="AP54:AP61" si="174">AF54*AF$26+AG54*AG$26+AH54*AH$26+AI54*AI$26+AJ54*AJ$26+AK54*AK$26+AL54*AL$26+AM54*AM$26+AN54*AN$26+AO54*AO$26</f>
        <v>0</v>
      </c>
      <c r="AQ54" s="308"/>
      <c r="AR54" s="333">
        <f t="shared" ref="AR54:AR60" si="175">T54*12</f>
        <v>0</v>
      </c>
      <c r="AS54" s="333">
        <f t="shared" ref="AS54:AS60" si="176">U54*12</f>
        <v>0</v>
      </c>
      <c r="AT54" s="333">
        <f t="shared" ref="AT54:AT60" si="177">V54*12</f>
        <v>0</v>
      </c>
      <c r="AU54" s="333">
        <f t="shared" ref="AU54:AU60" si="178">W54*12</f>
        <v>0</v>
      </c>
      <c r="AV54" s="333">
        <f t="shared" ref="AV54:AV60" si="179">X54*12</f>
        <v>0</v>
      </c>
      <c r="AW54" s="333">
        <f t="shared" ref="AW54:AW60" si="180">Y54*12</f>
        <v>0</v>
      </c>
      <c r="AX54" s="333">
        <f t="shared" ref="AX54:AX60" si="181">Z54*12</f>
        <v>0</v>
      </c>
      <c r="AY54" s="333">
        <f t="shared" ref="AY54:AY60" si="182">AA54*12</f>
        <v>0</v>
      </c>
      <c r="AZ54" s="333">
        <f t="shared" ref="AZ54:AZ60" si="183">AB54*12</f>
        <v>0</v>
      </c>
      <c r="BA54" s="333">
        <f t="shared" ref="BA54:BA60" si="184">AC54*12</f>
        <v>0</v>
      </c>
      <c r="BB54" s="337">
        <f t="shared" ref="BB54:BB61" si="185">AR54*AR$26+AS54*AS$26+AT54*AT$26+AU54*AU$26+AV54*AV$26+AW54*AW$26+AX54*AX$26+AY54*AY$26+AZ54*AZ$26+BA54*BA$26</f>
        <v>0</v>
      </c>
      <c r="BC54" s="11"/>
      <c r="BF54" s="33"/>
      <c r="BG54" s="33"/>
      <c r="BH54" s="33"/>
    </row>
    <row r="55" spans="1:60" s="16" customFormat="1" ht="12.95" customHeight="1" thickTop="1" thickBot="1" x14ac:dyDescent="0.25">
      <c r="B55" s="26"/>
      <c r="C55" s="26" t="s">
        <v>71</v>
      </c>
      <c r="D55" s="26"/>
      <c r="E55" s="17"/>
      <c r="F55" s="27"/>
      <c r="G55" s="26"/>
      <c r="H55" s="333"/>
      <c r="I55" s="333"/>
      <c r="J55" s="333"/>
      <c r="K55" s="333"/>
      <c r="L55" s="333"/>
      <c r="M55" s="333"/>
      <c r="N55" s="333"/>
      <c r="O55" s="333"/>
      <c r="P55" s="333"/>
      <c r="Q55" s="333"/>
      <c r="R55" s="333">
        <f t="shared" si="172"/>
        <v>0</v>
      </c>
      <c r="S55" s="308"/>
      <c r="T55" s="333">
        <v>0</v>
      </c>
      <c r="U55" s="333">
        <v>0</v>
      </c>
      <c r="V55" s="333">
        <v>0</v>
      </c>
      <c r="W55" s="333">
        <v>0</v>
      </c>
      <c r="X55" s="333">
        <v>0</v>
      </c>
      <c r="Y55" s="333">
        <v>0</v>
      </c>
      <c r="Z55" s="333">
        <v>0</v>
      </c>
      <c r="AA55" s="333">
        <v>0</v>
      </c>
      <c r="AB55" s="333">
        <v>0</v>
      </c>
      <c r="AC55" s="333">
        <v>0</v>
      </c>
      <c r="AD55" s="333">
        <v>0</v>
      </c>
      <c r="AE55" s="308"/>
      <c r="AF55" s="333">
        <f t="shared" ref="AF55:AF60" si="186">H55*12</f>
        <v>0</v>
      </c>
      <c r="AG55" s="333">
        <f t="shared" ref="AG55:AG60" si="187">I55*12</f>
        <v>0</v>
      </c>
      <c r="AH55" s="333">
        <f t="shared" ref="AH55:AH60" si="188">J55*12</f>
        <v>0</v>
      </c>
      <c r="AI55" s="333">
        <f t="shared" ref="AI55:AI60" si="189">K55*12</f>
        <v>0</v>
      </c>
      <c r="AJ55" s="333">
        <f t="shared" ref="AJ55:AJ60" si="190">L55*12</f>
        <v>0</v>
      </c>
      <c r="AK55" s="333">
        <f t="shared" ref="AK55:AK60" si="191">M55*12</f>
        <v>0</v>
      </c>
      <c r="AL55" s="333">
        <f t="shared" ref="AL55:AL60" si="192">N55*12</f>
        <v>0</v>
      </c>
      <c r="AM55" s="333">
        <f t="shared" ref="AM55:AM60" si="193">O55*12</f>
        <v>0</v>
      </c>
      <c r="AN55" s="333">
        <f t="shared" ref="AN55:AN60" si="194">P55*12</f>
        <v>0</v>
      </c>
      <c r="AO55" s="333">
        <f t="shared" ref="AO55:AO60" si="195">Q55*12</f>
        <v>0</v>
      </c>
      <c r="AP55" s="337">
        <f t="shared" si="174"/>
        <v>0</v>
      </c>
      <c r="AQ55" s="308"/>
      <c r="AR55" s="333">
        <f t="shared" si="175"/>
        <v>0</v>
      </c>
      <c r="AS55" s="333">
        <f t="shared" si="176"/>
        <v>0</v>
      </c>
      <c r="AT55" s="333">
        <f t="shared" si="177"/>
        <v>0</v>
      </c>
      <c r="AU55" s="333">
        <f t="shared" si="178"/>
        <v>0</v>
      </c>
      <c r="AV55" s="333">
        <f t="shared" si="179"/>
        <v>0</v>
      </c>
      <c r="AW55" s="333">
        <f t="shared" si="180"/>
        <v>0</v>
      </c>
      <c r="AX55" s="333">
        <f t="shared" si="181"/>
        <v>0</v>
      </c>
      <c r="AY55" s="333">
        <f t="shared" si="182"/>
        <v>0</v>
      </c>
      <c r="AZ55" s="333">
        <f t="shared" si="183"/>
        <v>0</v>
      </c>
      <c r="BA55" s="333">
        <f t="shared" si="184"/>
        <v>0</v>
      </c>
      <c r="BB55" s="337">
        <f t="shared" si="185"/>
        <v>0</v>
      </c>
      <c r="BC55" s="11"/>
      <c r="BF55" s="33"/>
      <c r="BG55" s="33"/>
      <c r="BH55" s="33"/>
    </row>
    <row r="56" spans="1:60" ht="12.95" customHeight="1" thickTop="1" thickBot="1" x14ac:dyDescent="0.25">
      <c r="A56" s="16"/>
      <c r="B56" s="26"/>
      <c r="C56" s="26" t="s">
        <v>72</v>
      </c>
      <c r="D56" s="26"/>
      <c r="F56" s="27"/>
      <c r="G56" s="26"/>
      <c r="H56" s="333"/>
      <c r="I56" s="333"/>
      <c r="J56" s="333"/>
      <c r="K56" s="333"/>
      <c r="L56" s="333"/>
      <c r="M56" s="333"/>
      <c r="N56" s="333"/>
      <c r="O56" s="333"/>
      <c r="P56" s="333"/>
      <c r="Q56" s="333"/>
      <c r="R56" s="333">
        <f t="shared" si="172"/>
        <v>0</v>
      </c>
      <c r="S56" s="308"/>
      <c r="T56" s="333">
        <v>0</v>
      </c>
      <c r="U56" s="333">
        <v>0</v>
      </c>
      <c r="V56" s="333">
        <v>0</v>
      </c>
      <c r="W56" s="333">
        <v>0</v>
      </c>
      <c r="X56" s="333">
        <v>0</v>
      </c>
      <c r="Y56" s="333">
        <v>0</v>
      </c>
      <c r="Z56" s="333">
        <v>0</v>
      </c>
      <c r="AA56" s="333">
        <v>0</v>
      </c>
      <c r="AB56" s="333">
        <v>0</v>
      </c>
      <c r="AC56" s="333">
        <v>0</v>
      </c>
      <c r="AD56" s="333">
        <v>0</v>
      </c>
      <c r="AE56" s="308"/>
      <c r="AF56" s="333">
        <f t="shared" si="186"/>
        <v>0</v>
      </c>
      <c r="AG56" s="333">
        <f t="shared" si="187"/>
        <v>0</v>
      </c>
      <c r="AH56" s="333">
        <f t="shared" si="188"/>
        <v>0</v>
      </c>
      <c r="AI56" s="333">
        <f t="shared" si="189"/>
        <v>0</v>
      </c>
      <c r="AJ56" s="333">
        <f t="shared" si="190"/>
        <v>0</v>
      </c>
      <c r="AK56" s="333">
        <f t="shared" si="191"/>
        <v>0</v>
      </c>
      <c r="AL56" s="333">
        <f t="shared" si="192"/>
        <v>0</v>
      </c>
      <c r="AM56" s="333">
        <f t="shared" si="193"/>
        <v>0</v>
      </c>
      <c r="AN56" s="333">
        <f t="shared" si="194"/>
        <v>0</v>
      </c>
      <c r="AO56" s="333">
        <f t="shared" si="195"/>
        <v>0</v>
      </c>
      <c r="AP56" s="337">
        <f t="shared" si="174"/>
        <v>0</v>
      </c>
      <c r="AQ56" s="308"/>
      <c r="AR56" s="333">
        <f t="shared" si="175"/>
        <v>0</v>
      </c>
      <c r="AS56" s="333">
        <f t="shared" si="176"/>
        <v>0</v>
      </c>
      <c r="AT56" s="333">
        <f t="shared" si="177"/>
        <v>0</v>
      </c>
      <c r="AU56" s="333">
        <f t="shared" si="178"/>
        <v>0</v>
      </c>
      <c r="AV56" s="333">
        <f t="shared" si="179"/>
        <v>0</v>
      </c>
      <c r="AW56" s="333">
        <f t="shared" si="180"/>
        <v>0</v>
      </c>
      <c r="AX56" s="333">
        <f t="shared" si="181"/>
        <v>0</v>
      </c>
      <c r="AY56" s="333">
        <f t="shared" si="182"/>
        <v>0</v>
      </c>
      <c r="AZ56" s="333">
        <f t="shared" si="183"/>
        <v>0</v>
      </c>
      <c r="BA56" s="333">
        <f t="shared" si="184"/>
        <v>0</v>
      </c>
      <c r="BB56" s="337">
        <f t="shared" si="185"/>
        <v>0</v>
      </c>
      <c r="BC56" s="99"/>
      <c r="BD56" s="84"/>
      <c r="BE56" s="84"/>
      <c r="BF56" s="84"/>
      <c r="BG56" s="84"/>
      <c r="BH56" s="84"/>
    </row>
    <row r="57" spans="1:60" s="16" customFormat="1" ht="12.95" customHeight="1" thickTop="1" thickBot="1" x14ac:dyDescent="0.25">
      <c r="A57" s="17"/>
      <c r="B57" s="26"/>
      <c r="C57" s="26" t="s">
        <v>93</v>
      </c>
      <c r="D57" s="26"/>
      <c r="E57" s="17"/>
      <c r="F57" s="27"/>
      <c r="G57" s="26"/>
      <c r="H57" s="333"/>
      <c r="I57" s="333"/>
      <c r="J57" s="333"/>
      <c r="K57" s="333"/>
      <c r="L57" s="333"/>
      <c r="M57" s="333"/>
      <c r="N57" s="333"/>
      <c r="O57" s="333"/>
      <c r="P57" s="333"/>
      <c r="Q57" s="333"/>
      <c r="R57" s="333">
        <f t="shared" si="172"/>
        <v>0</v>
      </c>
      <c r="S57" s="308"/>
      <c r="T57" s="333">
        <v>0</v>
      </c>
      <c r="U57" s="333">
        <v>0</v>
      </c>
      <c r="V57" s="333">
        <v>0</v>
      </c>
      <c r="W57" s="333">
        <v>0</v>
      </c>
      <c r="X57" s="333">
        <v>0</v>
      </c>
      <c r="Y57" s="333">
        <v>0</v>
      </c>
      <c r="Z57" s="333">
        <v>0</v>
      </c>
      <c r="AA57" s="333">
        <v>0</v>
      </c>
      <c r="AB57" s="333">
        <v>0</v>
      </c>
      <c r="AC57" s="333">
        <v>0</v>
      </c>
      <c r="AD57" s="333">
        <v>0</v>
      </c>
      <c r="AE57" s="308"/>
      <c r="AF57" s="333">
        <f t="shared" si="186"/>
        <v>0</v>
      </c>
      <c r="AG57" s="333">
        <f t="shared" si="187"/>
        <v>0</v>
      </c>
      <c r="AH57" s="333">
        <f t="shared" si="188"/>
        <v>0</v>
      </c>
      <c r="AI57" s="333">
        <f t="shared" si="189"/>
        <v>0</v>
      </c>
      <c r="AJ57" s="333">
        <f t="shared" si="190"/>
        <v>0</v>
      </c>
      <c r="AK57" s="333">
        <f t="shared" si="191"/>
        <v>0</v>
      </c>
      <c r="AL57" s="333">
        <f t="shared" si="192"/>
        <v>0</v>
      </c>
      <c r="AM57" s="333">
        <f t="shared" si="193"/>
        <v>0</v>
      </c>
      <c r="AN57" s="333">
        <f t="shared" si="194"/>
        <v>0</v>
      </c>
      <c r="AO57" s="333">
        <f t="shared" si="195"/>
        <v>0</v>
      </c>
      <c r="AP57" s="337">
        <f t="shared" si="174"/>
        <v>0</v>
      </c>
      <c r="AQ57" s="308"/>
      <c r="AR57" s="333">
        <f t="shared" si="175"/>
        <v>0</v>
      </c>
      <c r="AS57" s="333">
        <f t="shared" si="176"/>
        <v>0</v>
      </c>
      <c r="AT57" s="333">
        <f t="shared" si="177"/>
        <v>0</v>
      </c>
      <c r="AU57" s="333">
        <f t="shared" si="178"/>
        <v>0</v>
      </c>
      <c r="AV57" s="333">
        <f t="shared" si="179"/>
        <v>0</v>
      </c>
      <c r="AW57" s="333">
        <f t="shared" si="180"/>
        <v>0</v>
      </c>
      <c r="AX57" s="333">
        <f t="shared" si="181"/>
        <v>0</v>
      </c>
      <c r="AY57" s="333">
        <f t="shared" si="182"/>
        <v>0</v>
      </c>
      <c r="AZ57" s="333">
        <f t="shared" si="183"/>
        <v>0</v>
      </c>
      <c r="BA57" s="333">
        <f t="shared" si="184"/>
        <v>0</v>
      </c>
      <c r="BB57" s="337">
        <f t="shared" si="185"/>
        <v>0</v>
      </c>
      <c r="BC57" s="11"/>
      <c r="BF57" s="33"/>
      <c r="BG57" s="33"/>
      <c r="BH57" s="33"/>
    </row>
    <row r="58" spans="1:60" s="16" customFormat="1" ht="12.95" customHeight="1" thickTop="1" thickBot="1" x14ac:dyDescent="0.25">
      <c r="B58" s="26"/>
      <c r="C58" s="26" t="s">
        <v>73</v>
      </c>
      <c r="D58" s="26"/>
      <c r="E58" s="17"/>
      <c r="F58" s="27"/>
      <c r="G58" s="26"/>
      <c r="H58" s="333"/>
      <c r="I58" s="333"/>
      <c r="J58" s="333"/>
      <c r="K58" s="333"/>
      <c r="L58" s="333"/>
      <c r="M58" s="333"/>
      <c r="N58" s="333"/>
      <c r="O58" s="333"/>
      <c r="P58" s="333"/>
      <c r="Q58" s="333"/>
      <c r="R58" s="333">
        <f t="shared" si="172"/>
        <v>0</v>
      </c>
      <c r="S58" s="308"/>
      <c r="T58" s="333">
        <v>0</v>
      </c>
      <c r="U58" s="333">
        <v>0</v>
      </c>
      <c r="V58" s="333">
        <v>0</v>
      </c>
      <c r="W58" s="333">
        <v>0</v>
      </c>
      <c r="X58" s="333">
        <v>0</v>
      </c>
      <c r="Y58" s="333">
        <v>0</v>
      </c>
      <c r="Z58" s="333">
        <v>0</v>
      </c>
      <c r="AA58" s="333">
        <v>0</v>
      </c>
      <c r="AB58" s="333">
        <v>0</v>
      </c>
      <c r="AC58" s="333">
        <v>0</v>
      </c>
      <c r="AD58" s="333">
        <v>0</v>
      </c>
      <c r="AE58" s="308"/>
      <c r="AF58" s="333">
        <f t="shared" si="186"/>
        <v>0</v>
      </c>
      <c r="AG58" s="333">
        <f t="shared" si="187"/>
        <v>0</v>
      </c>
      <c r="AH58" s="333">
        <f t="shared" si="188"/>
        <v>0</v>
      </c>
      <c r="AI58" s="333">
        <f t="shared" si="189"/>
        <v>0</v>
      </c>
      <c r="AJ58" s="333">
        <f t="shared" si="190"/>
        <v>0</v>
      </c>
      <c r="AK58" s="333">
        <f t="shared" si="191"/>
        <v>0</v>
      </c>
      <c r="AL58" s="333">
        <f t="shared" si="192"/>
        <v>0</v>
      </c>
      <c r="AM58" s="333">
        <f t="shared" si="193"/>
        <v>0</v>
      </c>
      <c r="AN58" s="333">
        <f t="shared" si="194"/>
        <v>0</v>
      </c>
      <c r="AO58" s="333">
        <f t="shared" si="195"/>
        <v>0</v>
      </c>
      <c r="AP58" s="337">
        <f t="shared" si="174"/>
        <v>0</v>
      </c>
      <c r="AQ58" s="308"/>
      <c r="AR58" s="333">
        <f t="shared" si="175"/>
        <v>0</v>
      </c>
      <c r="AS58" s="333">
        <f t="shared" si="176"/>
        <v>0</v>
      </c>
      <c r="AT58" s="333">
        <f t="shared" si="177"/>
        <v>0</v>
      </c>
      <c r="AU58" s="333">
        <f t="shared" si="178"/>
        <v>0</v>
      </c>
      <c r="AV58" s="333">
        <f t="shared" si="179"/>
        <v>0</v>
      </c>
      <c r="AW58" s="333">
        <f t="shared" si="180"/>
        <v>0</v>
      </c>
      <c r="AX58" s="333">
        <f t="shared" si="181"/>
        <v>0</v>
      </c>
      <c r="AY58" s="333">
        <f t="shared" si="182"/>
        <v>0</v>
      </c>
      <c r="AZ58" s="333">
        <f t="shared" si="183"/>
        <v>0</v>
      </c>
      <c r="BA58" s="333">
        <f t="shared" si="184"/>
        <v>0</v>
      </c>
      <c r="BB58" s="337">
        <f t="shared" si="185"/>
        <v>0</v>
      </c>
      <c r="BC58" s="11"/>
      <c r="BF58" s="33"/>
      <c r="BG58" s="33"/>
      <c r="BH58" s="33"/>
    </row>
    <row r="59" spans="1:60" s="16" customFormat="1" ht="12.95" customHeight="1" thickTop="1" thickBot="1" x14ac:dyDescent="0.25">
      <c r="B59" s="26"/>
      <c r="C59" s="56" t="s">
        <v>93</v>
      </c>
      <c r="D59" s="26"/>
      <c r="E59" s="17"/>
      <c r="F59" s="27"/>
      <c r="G59" s="26"/>
      <c r="H59" s="333"/>
      <c r="I59" s="333"/>
      <c r="J59" s="333"/>
      <c r="K59" s="333"/>
      <c r="L59" s="333"/>
      <c r="M59" s="333"/>
      <c r="N59" s="333"/>
      <c r="O59" s="333"/>
      <c r="P59" s="333"/>
      <c r="Q59" s="333"/>
      <c r="R59" s="333">
        <f t="shared" si="172"/>
        <v>0</v>
      </c>
      <c r="S59" s="308"/>
      <c r="T59" s="333">
        <v>0</v>
      </c>
      <c r="U59" s="333">
        <v>0</v>
      </c>
      <c r="V59" s="333">
        <v>0</v>
      </c>
      <c r="W59" s="333">
        <v>0</v>
      </c>
      <c r="X59" s="333">
        <v>0</v>
      </c>
      <c r="Y59" s="333">
        <v>0</v>
      </c>
      <c r="Z59" s="333">
        <v>0</v>
      </c>
      <c r="AA59" s="333">
        <v>0</v>
      </c>
      <c r="AB59" s="333">
        <v>0</v>
      </c>
      <c r="AC59" s="333">
        <v>0</v>
      </c>
      <c r="AD59" s="333">
        <v>0</v>
      </c>
      <c r="AE59" s="308"/>
      <c r="AF59" s="333">
        <f t="shared" si="186"/>
        <v>0</v>
      </c>
      <c r="AG59" s="333">
        <f t="shared" si="187"/>
        <v>0</v>
      </c>
      <c r="AH59" s="333">
        <f t="shared" si="188"/>
        <v>0</v>
      </c>
      <c r="AI59" s="333">
        <f t="shared" si="189"/>
        <v>0</v>
      </c>
      <c r="AJ59" s="333">
        <f t="shared" si="190"/>
        <v>0</v>
      </c>
      <c r="AK59" s="333">
        <f t="shared" si="191"/>
        <v>0</v>
      </c>
      <c r="AL59" s="333">
        <f t="shared" si="192"/>
        <v>0</v>
      </c>
      <c r="AM59" s="333">
        <f t="shared" si="193"/>
        <v>0</v>
      </c>
      <c r="AN59" s="333">
        <f t="shared" si="194"/>
        <v>0</v>
      </c>
      <c r="AO59" s="333">
        <f t="shared" si="195"/>
        <v>0</v>
      </c>
      <c r="AP59" s="337">
        <f t="shared" si="174"/>
        <v>0</v>
      </c>
      <c r="AQ59" s="308"/>
      <c r="AR59" s="333">
        <f t="shared" si="175"/>
        <v>0</v>
      </c>
      <c r="AS59" s="333">
        <f t="shared" si="176"/>
        <v>0</v>
      </c>
      <c r="AT59" s="333">
        <f t="shared" si="177"/>
        <v>0</v>
      </c>
      <c r="AU59" s="333">
        <f t="shared" si="178"/>
        <v>0</v>
      </c>
      <c r="AV59" s="333">
        <f t="shared" si="179"/>
        <v>0</v>
      </c>
      <c r="AW59" s="333">
        <f t="shared" si="180"/>
        <v>0</v>
      </c>
      <c r="AX59" s="333">
        <f t="shared" si="181"/>
        <v>0</v>
      </c>
      <c r="AY59" s="333">
        <f t="shared" si="182"/>
        <v>0</v>
      </c>
      <c r="AZ59" s="333">
        <f t="shared" si="183"/>
        <v>0</v>
      </c>
      <c r="BA59" s="333">
        <f t="shared" si="184"/>
        <v>0</v>
      </c>
      <c r="BB59" s="337">
        <f t="shared" si="185"/>
        <v>0</v>
      </c>
      <c r="BC59" s="11"/>
      <c r="BF59" s="33"/>
      <c r="BG59" s="33"/>
      <c r="BH59" s="33"/>
    </row>
    <row r="60" spans="1:60" s="16" customFormat="1" ht="12.95" customHeight="1" thickTop="1" thickBot="1" x14ac:dyDescent="0.25">
      <c r="B60" s="26"/>
      <c r="C60" s="56" t="s">
        <v>73</v>
      </c>
      <c r="D60" s="26"/>
      <c r="E60" s="17"/>
      <c r="F60" s="27"/>
      <c r="G60" s="26"/>
      <c r="H60" s="333"/>
      <c r="I60" s="333"/>
      <c r="J60" s="333"/>
      <c r="K60" s="333"/>
      <c r="L60" s="333"/>
      <c r="M60" s="333"/>
      <c r="N60" s="333"/>
      <c r="O60" s="333"/>
      <c r="P60" s="333"/>
      <c r="Q60" s="333"/>
      <c r="R60" s="333">
        <f t="shared" si="172"/>
        <v>0</v>
      </c>
      <c r="S60" s="308"/>
      <c r="T60" s="333">
        <v>0</v>
      </c>
      <c r="U60" s="333">
        <v>0</v>
      </c>
      <c r="V60" s="333">
        <v>0</v>
      </c>
      <c r="W60" s="333">
        <v>0</v>
      </c>
      <c r="X60" s="333">
        <v>0</v>
      </c>
      <c r="Y60" s="333">
        <v>0</v>
      </c>
      <c r="Z60" s="333">
        <v>0</v>
      </c>
      <c r="AA60" s="333">
        <v>0</v>
      </c>
      <c r="AB60" s="333">
        <v>0</v>
      </c>
      <c r="AC60" s="333">
        <v>0</v>
      </c>
      <c r="AD60" s="333">
        <v>0</v>
      </c>
      <c r="AE60" s="308"/>
      <c r="AF60" s="333">
        <f t="shared" si="186"/>
        <v>0</v>
      </c>
      <c r="AG60" s="333">
        <f t="shared" si="187"/>
        <v>0</v>
      </c>
      <c r="AH60" s="333">
        <f t="shared" si="188"/>
        <v>0</v>
      </c>
      <c r="AI60" s="333">
        <f t="shared" si="189"/>
        <v>0</v>
      </c>
      <c r="AJ60" s="333">
        <f t="shared" si="190"/>
        <v>0</v>
      </c>
      <c r="AK60" s="333">
        <f t="shared" si="191"/>
        <v>0</v>
      </c>
      <c r="AL60" s="333">
        <f t="shared" si="192"/>
        <v>0</v>
      </c>
      <c r="AM60" s="333">
        <f t="shared" si="193"/>
        <v>0</v>
      </c>
      <c r="AN60" s="333">
        <f t="shared" si="194"/>
        <v>0</v>
      </c>
      <c r="AO60" s="333">
        <f t="shared" si="195"/>
        <v>0</v>
      </c>
      <c r="AP60" s="337">
        <f t="shared" si="174"/>
        <v>0</v>
      </c>
      <c r="AQ60" s="308"/>
      <c r="AR60" s="333">
        <f t="shared" si="175"/>
        <v>0</v>
      </c>
      <c r="AS60" s="333">
        <f t="shared" si="176"/>
        <v>0</v>
      </c>
      <c r="AT60" s="333">
        <f t="shared" si="177"/>
        <v>0</v>
      </c>
      <c r="AU60" s="333">
        <f t="shared" si="178"/>
        <v>0</v>
      </c>
      <c r="AV60" s="333">
        <f t="shared" si="179"/>
        <v>0</v>
      </c>
      <c r="AW60" s="333">
        <f t="shared" si="180"/>
        <v>0</v>
      </c>
      <c r="AX60" s="333">
        <f t="shared" si="181"/>
        <v>0</v>
      </c>
      <c r="AY60" s="333">
        <f t="shared" si="182"/>
        <v>0</v>
      </c>
      <c r="AZ60" s="333">
        <f t="shared" si="183"/>
        <v>0</v>
      </c>
      <c r="BA60" s="333">
        <f t="shared" si="184"/>
        <v>0</v>
      </c>
      <c r="BB60" s="337">
        <f t="shared" si="185"/>
        <v>0</v>
      </c>
      <c r="BC60" s="11"/>
      <c r="BF60" s="33"/>
      <c r="BG60" s="33"/>
      <c r="BH60" s="33"/>
    </row>
    <row r="61" spans="1:60" ht="12.95" customHeight="1" collapsed="1" thickTop="1" thickBot="1" x14ac:dyDescent="0.25">
      <c r="B61" s="26"/>
      <c r="C61" s="28" t="s">
        <v>144</v>
      </c>
      <c r="D61" s="28"/>
      <c r="E61" s="91"/>
      <c r="F61" s="50"/>
      <c r="G61" s="43"/>
      <c r="H61" s="333"/>
      <c r="I61" s="333"/>
      <c r="J61" s="333"/>
      <c r="K61" s="333"/>
      <c r="L61" s="333"/>
      <c r="M61" s="333"/>
      <c r="N61" s="333"/>
      <c r="O61" s="333"/>
      <c r="P61" s="333"/>
      <c r="Q61" s="333"/>
      <c r="R61" s="339">
        <f t="shared" si="172"/>
        <v>0</v>
      </c>
      <c r="S61" s="308"/>
      <c r="T61" s="333">
        <v>0</v>
      </c>
      <c r="U61" s="333">
        <v>0</v>
      </c>
      <c r="V61" s="333">
        <v>0</v>
      </c>
      <c r="W61" s="333">
        <v>0</v>
      </c>
      <c r="X61" s="333">
        <v>0</v>
      </c>
      <c r="Y61" s="333">
        <v>0</v>
      </c>
      <c r="Z61" s="333">
        <v>0</v>
      </c>
      <c r="AA61" s="333">
        <v>0</v>
      </c>
      <c r="AB61" s="333">
        <v>0</v>
      </c>
      <c r="AC61" s="333">
        <v>0</v>
      </c>
      <c r="AD61" s="333">
        <v>0</v>
      </c>
      <c r="AE61" s="308"/>
      <c r="AF61" s="340">
        <f>SUM(AF54:AF60)</f>
        <v>0</v>
      </c>
      <c r="AG61" s="340">
        <f t="shared" ref="AG61:AO61" si="196">SUM(AG54:AG60)</f>
        <v>0</v>
      </c>
      <c r="AH61" s="340">
        <f t="shared" si="196"/>
        <v>0</v>
      </c>
      <c r="AI61" s="340">
        <f t="shared" si="196"/>
        <v>0</v>
      </c>
      <c r="AJ61" s="340">
        <f t="shared" si="196"/>
        <v>0</v>
      </c>
      <c r="AK61" s="340">
        <f t="shared" si="196"/>
        <v>0</v>
      </c>
      <c r="AL61" s="340">
        <f t="shared" si="196"/>
        <v>0</v>
      </c>
      <c r="AM61" s="340">
        <f t="shared" si="196"/>
        <v>0</v>
      </c>
      <c r="AN61" s="340">
        <f t="shared" si="196"/>
        <v>0</v>
      </c>
      <c r="AO61" s="340">
        <f t="shared" si="196"/>
        <v>0</v>
      </c>
      <c r="AP61" s="333">
        <f t="shared" si="174"/>
        <v>0</v>
      </c>
      <c r="AQ61" s="308"/>
      <c r="AR61" s="340">
        <f>'Invoer gegevens'!$F35</f>
        <v>0</v>
      </c>
      <c r="AS61" s="340">
        <f>IF(AS$20&lt;&gt;"[leeg]",'Invoer gegevens'!G35,0)</f>
        <v>0</v>
      </c>
      <c r="AT61" s="340">
        <f>IF(AT$20&lt;&gt;"[leeg]",'Invoer gegevens'!H35,0)</f>
        <v>0</v>
      </c>
      <c r="AU61" s="340">
        <f>IF(AU$20&lt;&gt;"[leeg]",'Invoer gegevens'!I35,0)</f>
        <v>0</v>
      </c>
      <c r="AV61" s="340">
        <f>IF(AV$20&lt;&gt;"[leeg]",'Invoer gegevens'!J35,0)</f>
        <v>0</v>
      </c>
      <c r="AW61" s="340">
        <f>IF(AW$20&lt;&gt;"[leeg]",'Invoer gegevens'!K35,0)</f>
        <v>0</v>
      </c>
      <c r="AX61" s="340">
        <f>IF(AX$20&lt;&gt;"[leeg]",'Invoer gegevens'!L35,0)</f>
        <v>0</v>
      </c>
      <c r="AY61" s="340">
        <f>IF(AY$20&lt;&gt;"[leeg]",'Invoer gegevens'!M35,0)</f>
        <v>0</v>
      </c>
      <c r="AZ61" s="340">
        <f>IF(AZ$20&lt;&gt;"[leeg]",'Invoer gegevens'!N35,0)</f>
        <v>0</v>
      </c>
      <c r="BA61" s="340">
        <f>IF(BA$20&lt;&gt;"[leeg]",'Invoer gegevens'!O35,0)</f>
        <v>0</v>
      </c>
      <c r="BB61" s="333">
        <f t="shared" si="185"/>
        <v>0</v>
      </c>
      <c r="BC61" s="99"/>
      <c r="BD61" s="84"/>
      <c r="BE61" s="84"/>
      <c r="BF61" s="84"/>
      <c r="BG61" s="84"/>
      <c r="BH61" s="84"/>
    </row>
    <row r="62" spans="1:60" ht="12.95" customHeight="1" thickTop="1" thickBot="1" x14ac:dyDescent="0.25">
      <c r="B62" s="26"/>
      <c r="C62" s="28"/>
      <c r="D62" s="28"/>
      <c r="E62" s="91"/>
      <c r="F62" s="50"/>
      <c r="G62" s="43"/>
      <c r="H62" s="310"/>
      <c r="I62" s="310"/>
      <c r="J62" s="310"/>
      <c r="K62" s="310"/>
      <c r="L62" s="310"/>
      <c r="M62" s="310"/>
      <c r="N62" s="310"/>
      <c r="O62" s="310"/>
      <c r="P62" s="310"/>
      <c r="Q62" s="310"/>
      <c r="R62" s="310"/>
      <c r="S62" s="308"/>
      <c r="T62" s="310"/>
      <c r="U62" s="310"/>
      <c r="V62" s="310"/>
      <c r="W62" s="310"/>
      <c r="X62" s="310"/>
      <c r="Y62" s="310"/>
      <c r="Z62" s="310"/>
      <c r="AA62" s="310"/>
      <c r="AB62" s="310"/>
      <c r="AC62" s="310"/>
      <c r="AD62" s="310"/>
      <c r="AE62" s="308"/>
      <c r="AF62" s="310"/>
      <c r="AG62" s="310"/>
      <c r="AH62" s="310"/>
      <c r="AI62" s="310"/>
      <c r="AJ62" s="310"/>
      <c r="AK62" s="310"/>
      <c r="AL62" s="310"/>
      <c r="AM62" s="310"/>
      <c r="AN62" s="310"/>
      <c r="AO62" s="310"/>
      <c r="AP62" s="310"/>
      <c r="AQ62" s="308"/>
      <c r="AR62" s="310"/>
      <c r="AS62" s="310"/>
      <c r="AT62" s="310"/>
      <c r="AU62" s="310"/>
      <c r="AV62" s="310"/>
      <c r="AW62" s="310"/>
      <c r="AX62" s="310"/>
      <c r="AY62" s="310"/>
      <c r="AZ62" s="310"/>
      <c r="BA62" s="310"/>
      <c r="BB62" s="310"/>
      <c r="BC62" s="99"/>
      <c r="BD62" s="84"/>
      <c r="BE62" s="84"/>
      <c r="BF62" s="84"/>
      <c r="BG62" s="84"/>
      <c r="BH62" s="84"/>
    </row>
    <row r="63" spans="1:60" ht="13.5" customHeight="1" thickTop="1" thickBot="1" x14ac:dyDescent="0.25">
      <c r="B63" s="26"/>
      <c r="C63" s="44" t="s">
        <v>167</v>
      </c>
      <c r="D63" s="44"/>
      <c r="E63" s="90"/>
      <c r="F63" s="57"/>
      <c r="G63" s="44"/>
      <c r="H63" s="338">
        <f t="shared" ref="H63:Q63" si="197">H46+H50+H61</f>
        <v>1671.9191839999999</v>
      </c>
      <c r="I63" s="338">
        <f t="shared" si="197"/>
        <v>1671.9191839999999</v>
      </c>
      <c r="J63" s="338">
        <f t="shared" si="197"/>
        <v>1671.9191839999999</v>
      </c>
      <c r="K63" s="338">
        <f t="shared" si="197"/>
        <v>0</v>
      </c>
      <c r="L63" s="338">
        <f t="shared" si="197"/>
        <v>0</v>
      </c>
      <c r="M63" s="338">
        <f t="shared" si="197"/>
        <v>0</v>
      </c>
      <c r="N63" s="338">
        <f t="shared" si="197"/>
        <v>0</v>
      </c>
      <c r="O63" s="338">
        <f t="shared" si="197"/>
        <v>0</v>
      </c>
      <c r="P63" s="338">
        <f t="shared" si="197"/>
        <v>0</v>
      </c>
      <c r="Q63" s="338">
        <f t="shared" si="197"/>
        <v>0</v>
      </c>
      <c r="R63" s="338">
        <f t="shared" ref="R63" si="198">H63*H$26+I63*I$26+J63*J$26+K63*K$26+L63*L$26+M63*M$26+N63*N$26+O63*O$26+P63*P$26+Q63*Q$26</f>
        <v>1671.9191839999999</v>
      </c>
      <c r="S63" s="308"/>
      <c r="T63" s="338">
        <f t="shared" ref="T63:AD63" si="199">T46+T50+T61</f>
        <v>1640.3654839999999</v>
      </c>
      <c r="U63" s="338">
        <f t="shared" si="199"/>
        <v>1640.3654839999999</v>
      </c>
      <c r="V63" s="338">
        <f t="shared" si="199"/>
        <v>1640.3654839999999</v>
      </c>
      <c r="W63" s="338">
        <f t="shared" si="199"/>
        <v>0</v>
      </c>
      <c r="X63" s="338">
        <f t="shared" si="199"/>
        <v>0</v>
      </c>
      <c r="Y63" s="338">
        <f t="shared" si="199"/>
        <v>0</v>
      </c>
      <c r="Z63" s="338">
        <f t="shared" si="199"/>
        <v>0</v>
      </c>
      <c r="AA63" s="338">
        <f t="shared" si="199"/>
        <v>0</v>
      </c>
      <c r="AB63" s="338">
        <f t="shared" si="199"/>
        <v>0</v>
      </c>
      <c r="AC63" s="338">
        <f t="shared" si="199"/>
        <v>0</v>
      </c>
      <c r="AD63" s="338">
        <f t="shared" si="199"/>
        <v>1640.3654839999999</v>
      </c>
      <c r="AE63" s="308"/>
      <c r="AF63" s="338">
        <f t="shared" ref="AF63:AP63" si="200">AF46+AF50+AF61</f>
        <v>20063.030207999996</v>
      </c>
      <c r="AG63" s="338">
        <f t="shared" si="200"/>
        <v>20063.030207999996</v>
      </c>
      <c r="AH63" s="338">
        <f t="shared" si="200"/>
        <v>20063.030207999996</v>
      </c>
      <c r="AI63" s="338">
        <f t="shared" si="200"/>
        <v>0</v>
      </c>
      <c r="AJ63" s="338">
        <f t="shared" si="200"/>
        <v>0</v>
      </c>
      <c r="AK63" s="338">
        <f t="shared" si="200"/>
        <v>0</v>
      </c>
      <c r="AL63" s="338">
        <f t="shared" si="200"/>
        <v>0</v>
      </c>
      <c r="AM63" s="338">
        <f t="shared" si="200"/>
        <v>0</v>
      </c>
      <c r="AN63" s="338">
        <f t="shared" si="200"/>
        <v>0</v>
      </c>
      <c r="AO63" s="338">
        <f t="shared" si="200"/>
        <v>0</v>
      </c>
      <c r="AP63" s="338">
        <f t="shared" si="200"/>
        <v>20063.030207999996</v>
      </c>
      <c r="AQ63" s="308"/>
      <c r="AR63" s="338">
        <f t="shared" ref="AR63:BB63" si="201">AR46+AR50+AR61</f>
        <v>19684.385807999999</v>
      </c>
      <c r="AS63" s="338">
        <f t="shared" si="201"/>
        <v>19684.385807999999</v>
      </c>
      <c r="AT63" s="338">
        <f t="shared" si="201"/>
        <v>19684.385807999999</v>
      </c>
      <c r="AU63" s="338">
        <f t="shared" si="201"/>
        <v>0</v>
      </c>
      <c r="AV63" s="338">
        <f t="shared" si="201"/>
        <v>0</v>
      </c>
      <c r="AW63" s="338">
        <f t="shared" si="201"/>
        <v>0</v>
      </c>
      <c r="AX63" s="338">
        <f t="shared" si="201"/>
        <v>0</v>
      </c>
      <c r="AY63" s="338">
        <f t="shared" si="201"/>
        <v>0</v>
      </c>
      <c r="AZ63" s="338">
        <f t="shared" si="201"/>
        <v>0</v>
      </c>
      <c r="BA63" s="338">
        <f t="shared" si="201"/>
        <v>0</v>
      </c>
      <c r="BB63" s="338">
        <f t="shared" si="201"/>
        <v>19684.385807999999</v>
      </c>
      <c r="BC63" s="99"/>
      <c r="BD63" s="84"/>
      <c r="BE63" s="84"/>
      <c r="BF63" s="84"/>
      <c r="BG63" s="84"/>
      <c r="BH63" s="84"/>
    </row>
    <row r="64" spans="1:60" ht="13.5" customHeight="1" thickTop="1" x14ac:dyDescent="0.2">
      <c r="B64" s="26"/>
      <c r="C64" s="44"/>
      <c r="D64" s="44"/>
      <c r="E64" s="90"/>
      <c r="F64" s="57"/>
      <c r="G64" s="44"/>
      <c r="H64" s="310"/>
      <c r="I64" s="310"/>
      <c r="J64" s="310"/>
      <c r="K64" s="310"/>
      <c r="L64" s="310"/>
      <c r="M64" s="310"/>
      <c r="N64" s="310"/>
      <c r="O64" s="310"/>
      <c r="P64" s="310"/>
      <c r="Q64" s="310"/>
      <c r="R64" s="310"/>
      <c r="S64" s="308"/>
      <c r="T64" s="310"/>
      <c r="U64" s="310"/>
      <c r="V64" s="310"/>
      <c r="W64" s="310"/>
      <c r="X64" s="310"/>
      <c r="Y64" s="310"/>
      <c r="Z64" s="310"/>
      <c r="AA64" s="310"/>
      <c r="AB64" s="310"/>
      <c r="AC64" s="310"/>
      <c r="AD64" s="310"/>
      <c r="AE64" s="308"/>
      <c r="AF64" s="310"/>
      <c r="AG64" s="310"/>
      <c r="AH64" s="310"/>
      <c r="AI64" s="310"/>
      <c r="AJ64" s="310"/>
      <c r="AK64" s="310"/>
      <c r="AL64" s="310"/>
      <c r="AM64" s="310"/>
      <c r="AN64" s="310"/>
      <c r="AO64" s="310"/>
      <c r="AP64" s="310"/>
      <c r="AQ64" s="308"/>
      <c r="AR64" s="310"/>
      <c r="AS64" s="310"/>
      <c r="AT64" s="310"/>
      <c r="AU64" s="310"/>
      <c r="AV64" s="310"/>
      <c r="AW64" s="310"/>
      <c r="AX64" s="310"/>
      <c r="AY64" s="310"/>
      <c r="AZ64" s="310"/>
      <c r="BA64" s="310"/>
      <c r="BB64" s="310"/>
      <c r="BC64" s="99"/>
      <c r="BD64" s="84"/>
      <c r="BE64" s="84"/>
      <c r="BF64" s="84"/>
      <c r="BG64" s="84"/>
      <c r="BH64" s="84"/>
    </row>
    <row r="65" spans="1:60" ht="13.5" customHeight="1" thickBot="1" x14ac:dyDescent="0.25">
      <c r="B65" s="26"/>
      <c r="C65" s="43" t="s">
        <v>140</v>
      </c>
      <c r="D65" s="43"/>
      <c r="F65" s="27"/>
      <c r="G65" s="26"/>
      <c r="H65" s="310"/>
      <c r="I65" s="310"/>
      <c r="J65" s="310"/>
      <c r="K65" s="310"/>
      <c r="L65" s="310"/>
      <c r="M65" s="310"/>
      <c r="N65" s="310"/>
      <c r="O65" s="310"/>
      <c r="P65" s="310"/>
      <c r="Q65" s="310"/>
      <c r="R65" s="310"/>
      <c r="S65" s="308"/>
      <c r="T65" s="310"/>
      <c r="U65" s="310"/>
      <c r="V65" s="310"/>
      <c r="W65" s="310"/>
      <c r="X65" s="310"/>
      <c r="Y65" s="310"/>
      <c r="Z65" s="310"/>
      <c r="AA65" s="310"/>
      <c r="AB65" s="310"/>
      <c r="AC65" s="310"/>
      <c r="AD65" s="310"/>
      <c r="AE65" s="308"/>
      <c r="AF65" s="310"/>
      <c r="AG65" s="310"/>
      <c r="AH65" s="310"/>
      <c r="AI65" s="310"/>
      <c r="AJ65" s="310"/>
      <c r="AK65" s="310"/>
      <c r="AL65" s="310"/>
      <c r="AM65" s="310"/>
      <c r="AN65" s="310"/>
      <c r="AO65" s="310"/>
      <c r="AP65" s="310"/>
      <c r="AQ65" s="308"/>
      <c r="AR65" s="310"/>
      <c r="AS65" s="310"/>
      <c r="AT65" s="310"/>
      <c r="AU65" s="310"/>
      <c r="AV65" s="310"/>
      <c r="AW65" s="310"/>
      <c r="AX65" s="310"/>
      <c r="AY65" s="310"/>
      <c r="AZ65" s="310"/>
      <c r="BA65" s="310"/>
      <c r="BB65" s="310"/>
      <c r="BC65" s="99"/>
      <c r="BD65" s="84"/>
      <c r="BE65" s="84"/>
      <c r="BF65" s="84"/>
      <c r="BG65" s="84"/>
      <c r="BH65" s="84"/>
    </row>
    <row r="66" spans="1:60" ht="13.5" customHeight="1" thickTop="1" thickBot="1" x14ac:dyDescent="0.25">
      <c r="B66" s="26"/>
      <c r="C66" s="28" t="s">
        <v>141</v>
      </c>
      <c r="D66" s="28"/>
      <c r="E66" s="88"/>
      <c r="F66" s="29"/>
      <c r="G66" s="28"/>
      <c r="H66" s="338">
        <f t="shared" ref="H66:Q66" si="202">H35+H63</f>
        <v>7165.7791839999991</v>
      </c>
      <c r="I66" s="338">
        <f t="shared" si="202"/>
        <v>7165.7791839999991</v>
      </c>
      <c r="J66" s="338">
        <f t="shared" si="202"/>
        <v>7165.7791839999991</v>
      </c>
      <c r="K66" s="338">
        <f t="shared" si="202"/>
        <v>0</v>
      </c>
      <c r="L66" s="338">
        <f t="shared" si="202"/>
        <v>0</v>
      </c>
      <c r="M66" s="338">
        <f t="shared" si="202"/>
        <v>0</v>
      </c>
      <c r="N66" s="338">
        <f t="shared" si="202"/>
        <v>0</v>
      </c>
      <c r="O66" s="338">
        <f t="shared" si="202"/>
        <v>0</v>
      </c>
      <c r="P66" s="338">
        <f t="shared" si="202"/>
        <v>0</v>
      </c>
      <c r="Q66" s="338">
        <f t="shared" si="202"/>
        <v>0</v>
      </c>
      <c r="R66" s="338">
        <f t="shared" ref="R66" si="203">H66*H$26+I66*I$26+J66*J$26+K66*K$26+L66*L$26+M66*M$26+N66*N$26+O66*O$26+P66*P$26+Q66*Q$26</f>
        <v>7165.7791839999991</v>
      </c>
      <c r="S66" s="308"/>
      <c r="T66" s="338">
        <f t="shared" ref="T66:AD66" si="204">T35+T63</f>
        <v>6676.9254839999994</v>
      </c>
      <c r="U66" s="338">
        <f t="shared" si="204"/>
        <v>6676.9254839999994</v>
      </c>
      <c r="V66" s="338">
        <f t="shared" si="204"/>
        <v>6676.9254839999994</v>
      </c>
      <c r="W66" s="338">
        <f t="shared" si="204"/>
        <v>0</v>
      </c>
      <c r="X66" s="338">
        <f t="shared" si="204"/>
        <v>0</v>
      </c>
      <c r="Y66" s="338">
        <f t="shared" si="204"/>
        <v>0</v>
      </c>
      <c r="Z66" s="338">
        <f t="shared" si="204"/>
        <v>0</v>
      </c>
      <c r="AA66" s="338">
        <f t="shared" si="204"/>
        <v>0</v>
      </c>
      <c r="AB66" s="338">
        <f t="shared" si="204"/>
        <v>0</v>
      </c>
      <c r="AC66" s="338">
        <f t="shared" si="204"/>
        <v>0</v>
      </c>
      <c r="AD66" s="338">
        <f t="shared" si="204"/>
        <v>6676.9254839999994</v>
      </c>
      <c r="AE66" s="308"/>
      <c r="AF66" s="338">
        <f t="shared" ref="AF66:AP66" si="205">AF35+AF63</f>
        <v>85989.350207999989</v>
      </c>
      <c r="AG66" s="338">
        <f t="shared" si="205"/>
        <v>85989.350207999989</v>
      </c>
      <c r="AH66" s="338">
        <f t="shared" si="205"/>
        <v>85989.350207999989</v>
      </c>
      <c r="AI66" s="338">
        <f t="shared" si="205"/>
        <v>0</v>
      </c>
      <c r="AJ66" s="338">
        <f t="shared" si="205"/>
        <v>0</v>
      </c>
      <c r="AK66" s="338">
        <f t="shared" si="205"/>
        <v>0</v>
      </c>
      <c r="AL66" s="338">
        <f t="shared" si="205"/>
        <v>0</v>
      </c>
      <c r="AM66" s="338">
        <f t="shared" si="205"/>
        <v>0</v>
      </c>
      <c r="AN66" s="338">
        <f t="shared" si="205"/>
        <v>0</v>
      </c>
      <c r="AO66" s="338">
        <f t="shared" si="205"/>
        <v>0</v>
      </c>
      <c r="AP66" s="338">
        <f t="shared" si="205"/>
        <v>85989.350207999989</v>
      </c>
      <c r="AQ66" s="308"/>
      <c r="AR66" s="339">
        <f t="shared" ref="AR66:BB66" si="206">AR35+AR63</f>
        <v>80123.105807999993</v>
      </c>
      <c r="AS66" s="339">
        <f t="shared" si="206"/>
        <v>80123.105807999993</v>
      </c>
      <c r="AT66" s="339">
        <f t="shared" si="206"/>
        <v>80123.105807999993</v>
      </c>
      <c r="AU66" s="339">
        <f t="shared" si="206"/>
        <v>0</v>
      </c>
      <c r="AV66" s="339">
        <f t="shared" si="206"/>
        <v>0</v>
      </c>
      <c r="AW66" s="339">
        <f t="shared" si="206"/>
        <v>0</v>
      </c>
      <c r="AX66" s="339">
        <f t="shared" si="206"/>
        <v>0</v>
      </c>
      <c r="AY66" s="339">
        <f t="shared" si="206"/>
        <v>0</v>
      </c>
      <c r="AZ66" s="339">
        <f t="shared" si="206"/>
        <v>0</v>
      </c>
      <c r="BA66" s="339">
        <f t="shared" si="206"/>
        <v>0</v>
      </c>
      <c r="BB66" s="339">
        <f t="shared" si="206"/>
        <v>80123.105807999993</v>
      </c>
      <c r="BC66" s="99"/>
      <c r="BD66" s="84"/>
      <c r="BE66" s="84"/>
      <c r="BF66" s="84"/>
      <c r="BG66" s="84"/>
      <c r="BH66" s="84"/>
    </row>
    <row r="67" spans="1:60" ht="13.5" customHeight="1" thickTop="1" x14ac:dyDescent="0.2">
      <c r="B67" s="26"/>
      <c r="C67" s="26"/>
      <c r="D67" s="26"/>
      <c r="F67" s="27"/>
      <c r="G67" s="26"/>
      <c r="H67" s="312"/>
      <c r="I67" s="312"/>
      <c r="J67" s="312"/>
      <c r="K67" s="312"/>
      <c r="L67" s="312"/>
      <c r="M67" s="312"/>
      <c r="N67" s="312"/>
      <c r="O67" s="312"/>
      <c r="P67" s="312"/>
      <c r="Q67" s="312"/>
      <c r="R67" s="312"/>
      <c r="S67" s="312"/>
      <c r="T67" s="312"/>
      <c r="U67" s="312"/>
      <c r="V67" s="312"/>
      <c r="W67" s="312"/>
      <c r="X67" s="312"/>
      <c r="Y67" s="312"/>
      <c r="Z67" s="312"/>
      <c r="AA67" s="312"/>
      <c r="AB67" s="312"/>
      <c r="AC67" s="312"/>
      <c r="AD67" s="312"/>
      <c r="AE67" s="308"/>
      <c r="AF67" s="312"/>
      <c r="AG67" s="312"/>
      <c r="AH67" s="312"/>
      <c r="AI67" s="312"/>
      <c r="AJ67" s="312"/>
      <c r="AK67" s="312"/>
      <c r="AL67" s="312"/>
      <c r="AM67" s="312"/>
      <c r="AN67" s="312"/>
      <c r="AO67" s="312"/>
      <c r="AP67" s="312"/>
      <c r="AQ67" s="308"/>
      <c r="AR67" s="312"/>
      <c r="AS67" s="312"/>
      <c r="AT67" s="312"/>
      <c r="AU67" s="312"/>
      <c r="AV67" s="312"/>
      <c r="AW67" s="312"/>
      <c r="AX67" s="312"/>
      <c r="AY67" s="312"/>
      <c r="AZ67" s="312"/>
      <c r="BA67" s="312"/>
      <c r="BB67" s="312"/>
      <c r="BC67" s="99"/>
      <c r="BD67" s="84"/>
      <c r="BE67" s="84"/>
      <c r="BF67" s="84"/>
      <c r="BG67" s="84"/>
      <c r="BH67" s="84"/>
    </row>
    <row r="68" spans="1:60" ht="13.5" customHeight="1" thickBot="1" x14ac:dyDescent="0.25">
      <c r="B68" s="26"/>
      <c r="C68" s="43" t="s">
        <v>180</v>
      </c>
      <c r="D68" s="43"/>
      <c r="F68" s="27"/>
      <c r="G68" s="26"/>
      <c r="H68" s="312"/>
      <c r="I68" s="312"/>
      <c r="J68" s="312"/>
      <c r="K68" s="312"/>
      <c r="L68" s="312"/>
      <c r="M68" s="312"/>
      <c r="N68" s="312"/>
      <c r="O68" s="312"/>
      <c r="P68" s="312"/>
      <c r="Q68" s="312"/>
      <c r="R68" s="312"/>
      <c r="S68" s="312"/>
      <c r="T68" s="307"/>
      <c r="U68" s="307"/>
      <c r="V68" s="307"/>
      <c r="W68" s="307"/>
      <c r="X68" s="307"/>
      <c r="Y68" s="307"/>
      <c r="Z68" s="307"/>
      <c r="AA68" s="307"/>
      <c r="AB68" s="307"/>
      <c r="AC68" s="307"/>
      <c r="AD68" s="307"/>
      <c r="AE68" s="308"/>
      <c r="AF68" s="307"/>
      <c r="AG68" s="307"/>
      <c r="AH68" s="307"/>
      <c r="AI68" s="307"/>
      <c r="AJ68" s="307"/>
      <c r="AK68" s="307"/>
      <c r="AL68" s="307"/>
      <c r="AM68" s="307"/>
      <c r="AN68" s="307"/>
      <c r="AO68" s="307"/>
      <c r="AP68" s="307"/>
      <c r="AQ68" s="308"/>
      <c r="AR68" s="307"/>
      <c r="AS68" s="307"/>
      <c r="AT68" s="307"/>
      <c r="AU68" s="307"/>
      <c r="AV68" s="307"/>
      <c r="AW68" s="307"/>
      <c r="AX68" s="307"/>
      <c r="AY68" s="307"/>
      <c r="AZ68" s="307"/>
      <c r="BA68" s="307"/>
      <c r="BB68" s="307"/>
      <c r="BC68" s="99"/>
      <c r="BD68" s="84"/>
      <c r="BE68" s="84"/>
      <c r="BF68" s="84"/>
      <c r="BG68" s="84"/>
      <c r="BH68" s="84"/>
    </row>
    <row r="69" spans="1:60" ht="13.5" customHeight="1" thickTop="1" thickBot="1" x14ac:dyDescent="0.25">
      <c r="B69" s="26"/>
      <c r="C69" s="28" t="s">
        <v>168</v>
      </c>
      <c r="D69" s="28"/>
      <c r="F69" s="27"/>
      <c r="G69" s="26"/>
      <c r="H69" s="312"/>
      <c r="I69" s="312"/>
      <c r="J69" s="312"/>
      <c r="K69" s="312"/>
      <c r="L69" s="312"/>
      <c r="M69" s="312"/>
      <c r="N69" s="312"/>
      <c r="O69" s="312"/>
      <c r="P69" s="312"/>
      <c r="Q69" s="312"/>
      <c r="R69" s="312"/>
      <c r="S69" s="312"/>
      <c r="T69" s="338">
        <f>T66-H66</f>
        <v>-488.85369999999966</v>
      </c>
      <c r="U69" s="338">
        <f t="shared" ref="U69:AD69" si="207">U66-I66</f>
        <v>-488.85369999999966</v>
      </c>
      <c r="V69" s="338">
        <f t="shared" si="207"/>
        <v>-488.85369999999966</v>
      </c>
      <c r="W69" s="338">
        <f t="shared" si="207"/>
        <v>0</v>
      </c>
      <c r="X69" s="338">
        <f t="shared" si="207"/>
        <v>0</v>
      </c>
      <c r="Y69" s="338">
        <f t="shared" si="207"/>
        <v>0</v>
      </c>
      <c r="Z69" s="338">
        <f t="shared" si="207"/>
        <v>0</v>
      </c>
      <c r="AA69" s="338">
        <f t="shared" si="207"/>
        <v>0</v>
      </c>
      <c r="AB69" s="338">
        <f t="shared" si="207"/>
        <v>0</v>
      </c>
      <c r="AC69" s="338">
        <f t="shared" si="207"/>
        <v>0</v>
      </c>
      <c r="AD69" s="338">
        <f t="shared" si="207"/>
        <v>-488.85369999999966</v>
      </c>
      <c r="AE69" s="308"/>
      <c r="AF69" s="312"/>
      <c r="AG69" s="312"/>
      <c r="AH69" s="312"/>
      <c r="AI69" s="312"/>
      <c r="AJ69" s="312"/>
      <c r="AK69" s="312"/>
      <c r="AL69" s="312"/>
      <c r="AM69" s="312"/>
      <c r="AN69" s="312"/>
      <c r="AO69" s="312"/>
      <c r="AP69" s="312"/>
      <c r="AQ69" s="308"/>
      <c r="AR69" s="341">
        <f>AR66-AF66</f>
        <v>-5866.2443999999959</v>
      </c>
      <c r="AS69" s="341">
        <f t="shared" ref="AS69:BB69" si="208">AS66-AG66</f>
        <v>-5866.2443999999959</v>
      </c>
      <c r="AT69" s="341">
        <f t="shared" si="208"/>
        <v>-5866.2443999999959</v>
      </c>
      <c r="AU69" s="341">
        <f t="shared" si="208"/>
        <v>0</v>
      </c>
      <c r="AV69" s="341">
        <f t="shared" si="208"/>
        <v>0</v>
      </c>
      <c r="AW69" s="341">
        <f t="shared" si="208"/>
        <v>0</v>
      </c>
      <c r="AX69" s="341">
        <f t="shared" si="208"/>
        <v>0</v>
      </c>
      <c r="AY69" s="341">
        <f t="shared" si="208"/>
        <v>0</v>
      </c>
      <c r="AZ69" s="341">
        <f t="shared" si="208"/>
        <v>0</v>
      </c>
      <c r="BA69" s="341">
        <f t="shared" si="208"/>
        <v>0</v>
      </c>
      <c r="BB69" s="341">
        <f t="shared" si="208"/>
        <v>-5866.2443999999959</v>
      </c>
      <c r="BC69" s="99"/>
      <c r="BD69" s="84"/>
      <c r="BE69" s="84"/>
      <c r="BF69" s="84"/>
      <c r="BG69" s="84"/>
      <c r="BH69" s="84"/>
    </row>
    <row r="70" spans="1:60" ht="13.5" customHeight="1" thickTop="1" x14ac:dyDescent="0.2">
      <c r="B70" s="26"/>
      <c r="C70" s="28"/>
      <c r="D70" s="28"/>
      <c r="F70" s="27"/>
      <c r="G70" s="26"/>
      <c r="H70" s="312"/>
      <c r="I70" s="312"/>
      <c r="J70" s="312"/>
      <c r="K70" s="312"/>
      <c r="L70" s="312"/>
      <c r="M70" s="312"/>
      <c r="N70" s="312"/>
      <c r="O70" s="312"/>
      <c r="P70" s="312"/>
      <c r="Q70" s="312"/>
      <c r="R70" s="312"/>
      <c r="S70" s="312"/>
      <c r="T70" s="342"/>
      <c r="U70" s="342"/>
      <c r="V70" s="342"/>
      <c r="W70" s="342"/>
      <c r="X70" s="342"/>
      <c r="Y70" s="342"/>
      <c r="Z70" s="342"/>
      <c r="AA70" s="342"/>
      <c r="AB70" s="342"/>
      <c r="AC70" s="342"/>
      <c r="AD70" s="342"/>
      <c r="AE70" s="308"/>
      <c r="AF70" s="312"/>
      <c r="AG70" s="312"/>
      <c r="AH70" s="312"/>
      <c r="AI70" s="312"/>
      <c r="AJ70" s="312"/>
      <c r="AK70" s="312"/>
      <c r="AL70" s="312"/>
      <c r="AM70" s="312"/>
      <c r="AN70" s="312"/>
      <c r="AO70" s="312"/>
      <c r="AP70" s="312"/>
      <c r="AQ70" s="308"/>
      <c r="AR70" s="343"/>
      <c r="AS70" s="343"/>
      <c r="AT70" s="343"/>
      <c r="AU70" s="343"/>
      <c r="AV70" s="343"/>
      <c r="AW70" s="343"/>
      <c r="AX70" s="343"/>
      <c r="AY70" s="343"/>
      <c r="AZ70" s="343"/>
      <c r="BA70" s="343"/>
      <c r="BB70" s="343"/>
      <c r="BC70" s="99"/>
      <c r="BD70" s="84"/>
      <c r="BE70" s="84"/>
      <c r="BF70" s="84"/>
      <c r="BG70" s="84"/>
      <c r="BH70" s="84"/>
    </row>
    <row r="71" spans="1:60" ht="13.5" customHeight="1" thickBot="1" x14ac:dyDescent="0.25">
      <c r="B71" s="26"/>
      <c r="C71" s="43" t="s">
        <v>219</v>
      </c>
      <c r="D71" s="43"/>
      <c r="F71" s="27"/>
      <c r="G71" s="26"/>
      <c r="H71" s="312"/>
      <c r="I71" s="312"/>
      <c r="J71" s="312"/>
      <c r="K71" s="312"/>
      <c r="L71" s="312"/>
      <c r="M71" s="312"/>
      <c r="N71" s="312"/>
      <c r="O71" s="312"/>
      <c r="P71" s="312"/>
      <c r="Q71" s="312"/>
      <c r="R71" s="312"/>
      <c r="S71" s="312"/>
      <c r="T71" s="342"/>
      <c r="U71" s="342"/>
      <c r="V71" s="342"/>
      <c r="W71" s="342"/>
      <c r="X71" s="342"/>
      <c r="Y71" s="342"/>
      <c r="Z71" s="342"/>
      <c r="AA71" s="342"/>
      <c r="AB71" s="342"/>
      <c r="AC71" s="342"/>
      <c r="AD71" s="342"/>
      <c r="AE71" s="308"/>
      <c r="AF71" s="312"/>
      <c r="AG71" s="312"/>
      <c r="AH71" s="312"/>
      <c r="AI71" s="312"/>
      <c r="AJ71" s="312"/>
      <c r="AK71" s="312"/>
      <c r="AL71" s="312"/>
      <c r="AM71" s="312"/>
      <c r="AN71" s="312"/>
      <c r="AO71" s="312"/>
      <c r="AP71" s="312"/>
      <c r="AQ71" s="308"/>
      <c r="AR71" s="343"/>
      <c r="AS71" s="343"/>
      <c r="AT71" s="343"/>
      <c r="AU71" s="343"/>
      <c r="AV71" s="343"/>
      <c r="AW71" s="343"/>
      <c r="AX71" s="343"/>
      <c r="AY71" s="343"/>
      <c r="AZ71" s="343"/>
      <c r="BA71" s="343"/>
      <c r="BB71" s="343"/>
      <c r="BC71" s="99"/>
      <c r="BD71" s="84"/>
      <c r="BE71" s="84"/>
      <c r="BF71" s="84"/>
      <c r="BG71" s="84"/>
      <c r="BH71" s="84"/>
    </row>
    <row r="72" spans="1:60" s="88" customFormat="1" ht="13.5" customHeight="1" thickTop="1" thickBot="1" x14ac:dyDescent="0.25">
      <c r="B72" s="28"/>
      <c r="C72" s="28" t="s">
        <v>220</v>
      </c>
      <c r="D72" s="28"/>
      <c r="F72" s="29"/>
      <c r="G72" s="28"/>
      <c r="H72" s="338">
        <f>AF72/12</f>
        <v>1074.8668775999997</v>
      </c>
      <c r="I72" s="338">
        <f t="shared" ref="I72:R72" si="209">AG72/12</f>
        <v>1074.8668775999997</v>
      </c>
      <c r="J72" s="338">
        <f t="shared" si="209"/>
        <v>1074.8668775999997</v>
      </c>
      <c r="K72" s="338">
        <f t="shared" si="209"/>
        <v>1074.8668775999997</v>
      </c>
      <c r="L72" s="338">
        <f t="shared" si="209"/>
        <v>1074.8668775999997</v>
      </c>
      <c r="M72" s="338">
        <f t="shared" si="209"/>
        <v>1074.8668775999997</v>
      </c>
      <c r="N72" s="338">
        <f t="shared" si="209"/>
        <v>1074.8668775999997</v>
      </c>
      <c r="O72" s="338">
        <f t="shared" si="209"/>
        <v>1074.8668775999997</v>
      </c>
      <c r="P72" s="338">
        <f t="shared" si="209"/>
        <v>1074.8668775999997</v>
      </c>
      <c r="Q72" s="338">
        <f t="shared" si="209"/>
        <v>1074.8668775999997</v>
      </c>
      <c r="R72" s="338">
        <f t="shared" si="209"/>
        <v>1074.8668775999997</v>
      </c>
      <c r="S72" s="331"/>
      <c r="T72" s="338">
        <f>AR72/12</f>
        <v>534.1540387199999</v>
      </c>
      <c r="U72" s="338">
        <f t="shared" ref="U72" si="210">AS72/12</f>
        <v>534.1540387199999</v>
      </c>
      <c r="V72" s="338">
        <f t="shared" ref="V72" si="211">AT72/12</f>
        <v>534.1540387199999</v>
      </c>
      <c r="W72" s="338">
        <f t="shared" ref="W72" si="212">AU72/12</f>
        <v>0</v>
      </c>
      <c r="X72" s="338">
        <f t="shared" ref="X72" si="213">AV72/12</f>
        <v>0</v>
      </c>
      <c r="Y72" s="338">
        <f t="shared" ref="Y72" si="214">AW72/12</f>
        <v>0</v>
      </c>
      <c r="Z72" s="338">
        <f t="shared" ref="Z72" si="215">AX72/12</f>
        <v>0</v>
      </c>
      <c r="AA72" s="338">
        <f t="shared" ref="AA72" si="216">AY72/12</f>
        <v>0</v>
      </c>
      <c r="AB72" s="338">
        <f t="shared" ref="AB72" si="217">AZ72/12</f>
        <v>0</v>
      </c>
      <c r="AC72" s="338">
        <f t="shared" ref="AC72" si="218">BA72/12</f>
        <v>0</v>
      </c>
      <c r="AD72" s="338">
        <f t="shared" ref="AD72" si="219">BB72/12</f>
        <v>402.9248</v>
      </c>
      <c r="AE72" s="344"/>
      <c r="AF72" s="338">
        <f>'Invoer gegevens'!$U12*'Loonkosten uitgebreid'!$AF66</f>
        <v>12898.402531199998</v>
      </c>
      <c r="AG72" s="338">
        <f>'Invoer gegevens'!$U12*'Loonkosten uitgebreid'!$AF66</f>
        <v>12898.402531199998</v>
      </c>
      <c r="AH72" s="338">
        <f>'Invoer gegevens'!$U12*'Loonkosten uitgebreid'!$AF66</f>
        <v>12898.402531199998</v>
      </c>
      <c r="AI72" s="338">
        <f>'Invoer gegevens'!$U12*'Loonkosten uitgebreid'!$AF66</f>
        <v>12898.402531199998</v>
      </c>
      <c r="AJ72" s="338">
        <f>'Invoer gegevens'!$U12*'Loonkosten uitgebreid'!$AF66</f>
        <v>12898.402531199998</v>
      </c>
      <c r="AK72" s="338">
        <f>'Invoer gegevens'!$U12*'Loonkosten uitgebreid'!$AF66</f>
        <v>12898.402531199998</v>
      </c>
      <c r="AL72" s="338">
        <f>'Invoer gegevens'!$U12*'Loonkosten uitgebreid'!$AF66</f>
        <v>12898.402531199998</v>
      </c>
      <c r="AM72" s="338">
        <f>'Invoer gegevens'!$U12*'Loonkosten uitgebreid'!$AF66</f>
        <v>12898.402531199998</v>
      </c>
      <c r="AN72" s="338">
        <f>'Invoer gegevens'!$U12*'Loonkosten uitgebreid'!$AF66</f>
        <v>12898.402531199998</v>
      </c>
      <c r="AO72" s="338">
        <f>'Invoer gegevens'!$U12*'Loonkosten uitgebreid'!$AF66</f>
        <v>12898.402531199998</v>
      </c>
      <c r="AP72" s="338">
        <f t="shared" ref="AP72" si="220">AF72*AF$26+AG72*AG$26+AH72*AH$26+AI72*AI$26+AJ72*AJ$26+AK72*AK$26+AL72*AL$26+AM72*AM$26+AN72*AN$26+AO72*AO$26</f>
        <v>12898.402531199998</v>
      </c>
      <c r="AQ72" s="344"/>
      <c r="AR72" s="338">
        <f>'Invoer gegevens'!$V12*'Loonkosten uitgebreid'!AR66</f>
        <v>6409.8484646399993</v>
      </c>
      <c r="AS72" s="338">
        <f>'Invoer gegevens'!$V12*'Loonkosten uitgebreid'!AS66</f>
        <v>6409.8484646399993</v>
      </c>
      <c r="AT72" s="338">
        <f>'Invoer gegevens'!$V12*'Loonkosten uitgebreid'!AT66</f>
        <v>6409.8484646399993</v>
      </c>
      <c r="AU72" s="338">
        <f>'Invoer gegevens'!$V12*'Loonkosten uitgebreid'!AU66</f>
        <v>0</v>
      </c>
      <c r="AV72" s="338">
        <f>'Invoer gegevens'!$V12*'Loonkosten uitgebreid'!AV66</f>
        <v>0</v>
      </c>
      <c r="AW72" s="338">
        <f>'Invoer gegevens'!$V12*'Loonkosten uitgebreid'!AW66</f>
        <v>0</v>
      </c>
      <c r="AX72" s="338">
        <f>'Invoer gegevens'!$V12*'Loonkosten uitgebreid'!AX66</f>
        <v>0</v>
      </c>
      <c r="AY72" s="338">
        <f>'Invoer gegevens'!$V12*'Loonkosten uitgebreid'!AY66</f>
        <v>0</v>
      </c>
      <c r="AZ72" s="338">
        <f>'Invoer gegevens'!$V12*'Loonkosten uitgebreid'!AZ66</f>
        <v>0</v>
      </c>
      <c r="BA72" s="338">
        <f>'Invoer gegevens'!$V12*'Loonkosten uitgebreid'!BA66</f>
        <v>0</v>
      </c>
      <c r="BB72" s="338">
        <f>IF(BC40&lt;&gt;"[leeg]",'Invoer gegevens'!$V12*'Loonkosten uitgebreid'!BB35,0)</f>
        <v>4835.0976000000001</v>
      </c>
      <c r="BC72" s="142"/>
      <c r="BD72" s="129"/>
      <c r="BE72" s="129"/>
      <c r="BF72" s="129"/>
      <c r="BG72" s="129"/>
      <c r="BH72" s="129"/>
    </row>
    <row r="73" spans="1:60" ht="13.5" customHeight="1" thickTop="1" thickBot="1" x14ac:dyDescent="0.25">
      <c r="B73" s="26"/>
      <c r="C73" s="30"/>
      <c r="D73" s="30"/>
      <c r="F73" s="27"/>
      <c r="G73" s="26"/>
      <c r="H73" s="312"/>
      <c r="I73" s="312"/>
      <c r="J73" s="312"/>
      <c r="K73" s="312"/>
      <c r="L73" s="312"/>
      <c r="M73" s="312"/>
      <c r="N73" s="312"/>
      <c r="O73" s="312"/>
      <c r="P73" s="312"/>
      <c r="Q73" s="312"/>
      <c r="R73" s="312"/>
      <c r="S73" s="312"/>
      <c r="T73" s="342"/>
      <c r="U73" s="342"/>
      <c r="V73" s="342"/>
      <c r="W73" s="342"/>
      <c r="X73" s="342"/>
      <c r="Y73" s="342"/>
      <c r="Z73" s="342"/>
      <c r="AA73" s="342"/>
      <c r="AB73" s="342"/>
      <c r="AC73" s="342"/>
      <c r="AD73" s="342"/>
      <c r="AE73" s="308"/>
      <c r="AF73" s="312"/>
      <c r="AG73" s="312"/>
      <c r="AH73" s="312"/>
      <c r="AI73" s="312"/>
      <c r="AJ73" s="312"/>
      <c r="AK73" s="312"/>
      <c r="AL73" s="312"/>
      <c r="AM73" s="312"/>
      <c r="AN73" s="312"/>
      <c r="AO73" s="312"/>
      <c r="AP73" s="312"/>
      <c r="AQ73" s="308"/>
      <c r="AR73" s="343"/>
      <c r="AS73" s="343"/>
      <c r="AT73" s="343"/>
      <c r="AU73" s="343"/>
      <c r="AV73" s="343"/>
      <c r="AW73" s="343"/>
      <c r="AX73" s="343"/>
      <c r="AY73" s="343"/>
      <c r="AZ73" s="343"/>
      <c r="BA73" s="343"/>
      <c r="BB73" s="343"/>
      <c r="BC73" s="99"/>
      <c r="BD73" s="84"/>
      <c r="BE73" s="84"/>
      <c r="BF73" s="84"/>
      <c r="BG73" s="84"/>
      <c r="BH73" s="84"/>
    </row>
    <row r="74" spans="1:60" ht="13.5" customHeight="1" thickTop="1" thickBot="1" x14ac:dyDescent="0.25">
      <c r="B74" s="26"/>
      <c r="C74" s="43" t="s">
        <v>221</v>
      </c>
      <c r="D74" s="43"/>
      <c r="F74" s="27"/>
      <c r="G74" s="26"/>
      <c r="H74" s="312"/>
      <c r="I74" s="312"/>
      <c r="J74" s="312"/>
      <c r="K74" s="312"/>
      <c r="L74" s="312"/>
      <c r="M74" s="312"/>
      <c r="N74" s="312"/>
      <c r="O74" s="312"/>
      <c r="P74" s="312"/>
      <c r="Q74" s="312"/>
      <c r="R74" s="312"/>
      <c r="S74" s="312"/>
      <c r="T74" s="338">
        <f>T69+T72-H72</f>
        <v>-1029.5665388799994</v>
      </c>
      <c r="U74" s="338">
        <f t="shared" ref="U74:AD74" si="221">U69+U72-I72</f>
        <v>-1029.5665388799994</v>
      </c>
      <c r="V74" s="338">
        <f t="shared" si="221"/>
        <v>-1029.5665388799994</v>
      </c>
      <c r="W74" s="338">
        <f t="shared" si="221"/>
        <v>-1074.8668775999997</v>
      </c>
      <c r="X74" s="338">
        <f t="shared" si="221"/>
        <v>-1074.8668775999997</v>
      </c>
      <c r="Y74" s="338">
        <f t="shared" si="221"/>
        <v>-1074.8668775999997</v>
      </c>
      <c r="Z74" s="338">
        <f t="shared" si="221"/>
        <v>-1074.8668775999997</v>
      </c>
      <c r="AA74" s="338">
        <f t="shared" si="221"/>
        <v>-1074.8668775999997</v>
      </c>
      <c r="AB74" s="338">
        <f t="shared" si="221"/>
        <v>-1074.8668775999997</v>
      </c>
      <c r="AC74" s="338">
        <f t="shared" si="221"/>
        <v>-1074.8668775999997</v>
      </c>
      <c r="AD74" s="338">
        <f t="shared" si="221"/>
        <v>-1160.7957775999994</v>
      </c>
      <c r="AE74" s="308"/>
      <c r="AF74" s="312"/>
      <c r="AG74" s="312"/>
      <c r="AH74" s="312"/>
      <c r="AI74" s="312"/>
      <c r="AJ74" s="312"/>
      <c r="AK74" s="312"/>
      <c r="AL74" s="312"/>
      <c r="AM74" s="312"/>
      <c r="AN74" s="312"/>
      <c r="AO74" s="312"/>
      <c r="AP74" s="312"/>
      <c r="AQ74" s="308"/>
      <c r="AR74" s="341">
        <f>AR69+AR72-AF72</f>
        <v>-12354.798466559994</v>
      </c>
      <c r="AS74" s="341">
        <f t="shared" ref="AS74:BB74" si="222">AS69+AS72-AG72</f>
        <v>-12354.798466559994</v>
      </c>
      <c r="AT74" s="341">
        <f t="shared" si="222"/>
        <v>-12354.798466559994</v>
      </c>
      <c r="AU74" s="341">
        <f t="shared" si="222"/>
        <v>-12898.402531199998</v>
      </c>
      <c r="AV74" s="341">
        <f t="shared" si="222"/>
        <v>-12898.402531199998</v>
      </c>
      <c r="AW74" s="341">
        <f t="shared" si="222"/>
        <v>-12898.402531199998</v>
      </c>
      <c r="AX74" s="341">
        <f t="shared" si="222"/>
        <v>-12898.402531199998</v>
      </c>
      <c r="AY74" s="341">
        <f t="shared" si="222"/>
        <v>-12898.402531199998</v>
      </c>
      <c r="AZ74" s="341">
        <f t="shared" si="222"/>
        <v>-12898.402531199998</v>
      </c>
      <c r="BA74" s="341">
        <f t="shared" si="222"/>
        <v>-12898.402531199998</v>
      </c>
      <c r="BB74" s="341">
        <f t="shared" si="222"/>
        <v>-13929.549331199993</v>
      </c>
      <c r="BC74" s="99"/>
      <c r="BD74" s="84"/>
      <c r="BE74" s="84"/>
      <c r="BF74" s="84"/>
      <c r="BG74" s="84"/>
      <c r="BH74" s="84"/>
    </row>
    <row r="75" spans="1:60" s="16" customFormat="1" ht="12.95" customHeight="1" thickTop="1" x14ac:dyDescent="0.2">
      <c r="A75" s="17"/>
      <c r="B75" s="30"/>
      <c r="C75" s="28" t="s">
        <v>222</v>
      </c>
      <c r="D75" s="28"/>
      <c r="E75" s="35"/>
      <c r="F75" s="31"/>
      <c r="G75" s="30"/>
      <c r="H75" s="320"/>
      <c r="I75" s="320"/>
      <c r="J75" s="320"/>
      <c r="K75" s="320"/>
      <c r="L75" s="320"/>
      <c r="M75" s="320"/>
      <c r="N75" s="320"/>
      <c r="O75" s="320"/>
      <c r="P75" s="320"/>
      <c r="Q75" s="320"/>
      <c r="R75" s="320"/>
      <c r="S75" s="320"/>
      <c r="T75" s="320"/>
      <c r="U75" s="320"/>
      <c r="V75" s="320"/>
      <c r="W75" s="320"/>
      <c r="X75" s="320"/>
      <c r="Y75" s="320"/>
      <c r="Z75" s="320"/>
      <c r="AA75" s="320"/>
      <c r="AB75" s="320"/>
      <c r="AC75" s="320"/>
      <c r="AD75" s="320"/>
      <c r="AE75" s="320"/>
      <c r="AF75" s="320"/>
      <c r="AG75" s="320"/>
      <c r="AH75" s="320"/>
      <c r="AI75" s="320"/>
      <c r="AJ75" s="320"/>
      <c r="AK75" s="320"/>
      <c r="AL75" s="320"/>
      <c r="AM75" s="320"/>
      <c r="AN75" s="320"/>
      <c r="AO75" s="320"/>
      <c r="AP75" s="320"/>
      <c r="AQ75" s="320"/>
      <c r="AR75" s="320"/>
      <c r="AS75" s="327"/>
      <c r="AT75" s="327"/>
      <c r="AU75" s="327"/>
      <c r="AV75" s="327"/>
      <c r="AW75" s="327"/>
      <c r="AX75" s="327"/>
      <c r="AY75" s="327"/>
      <c r="AZ75" s="327"/>
      <c r="BA75" s="327"/>
      <c r="BB75" s="327"/>
      <c r="BC75" s="11"/>
      <c r="BF75" s="33"/>
      <c r="BG75" s="33"/>
      <c r="BH75" s="33"/>
    </row>
    <row r="76" spans="1:60" s="16" customFormat="1" ht="12.95" customHeight="1" x14ac:dyDescent="0.2">
      <c r="A76" s="17"/>
      <c r="B76" s="35"/>
      <c r="C76" s="35"/>
      <c r="D76" s="35"/>
      <c r="E76" s="35"/>
      <c r="F76" s="86"/>
      <c r="G76" s="35"/>
      <c r="H76" s="345"/>
      <c r="I76" s="345"/>
      <c r="J76" s="345"/>
      <c r="K76" s="345"/>
      <c r="L76" s="328"/>
      <c r="M76" s="328"/>
      <c r="N76" s="64"/>
      <c r="O76" s="299"/>
      <c r="P76" s="299"/>
      <c r="Q76" s="299"/>
      <c r="R76" s="299"/>
      <c r="S76" s="299"/>
      <c r="T76" s="299"/>
      <c r="U76" s="299"/>
      <c r="V76" s="299"/>
      <c r="W76" s="299"/>
      <c r="X76" s="299"/>
      <c r="Y76" s="299"/>
      <c r="Z76" s="299"/>
      <c r="AA76" s="299"/>
      <c r="AB76" s="299"/>
      <c r="AC76" s="299"/>
      <c r="AD76" s="299"/>
      <c r="AE76" s="299"/>
      <c r="AF76" s="309"/>
      <c r="AG76" s="309"/>
      <c r="AH76" s="309"/>
      <c r="AI76" s="309"/>
      <c r="AJ76" s="309"/>
      <c r="AK76" s="309"/>
      <c r="AL76" s="309"/>
      <c r="AM76" s="309"/>
      <c r="AN76" s="309"/>
      <c r="AO76" s="309"/>
      <c r="AP76" s="309"/>
      <c r="AQ76" s="309"/>
      <c r="AR76" s="309"/>
      <c r="AS76" s="309"/>
      <c r="AT76" s="309"/>
      <c r="AU76" s="309"/>
      <c r="AV76" s="309"/>
      <c r="AW76" s="309"/>
      <c r="AX76" s="305"/>
      <c r="AY76" s="305"/>
      <c r="AZ76" s="305"/>
      <c r="BA76" s="305"/>
      <c r="BB76" s="305"/>
    </row>
    <row r="77" spans="1:60" s="105" customFormat="1" ht="15" customHeight="1" x14ac:dyDescent="0.2">
      <c r="B77" s="11"/>
      <c r="C77" s="26"/>
      <c r="D77" s="26"/>
      <c r="E77" s="106"/>
      <c r="F77" s="26"/>
      <c r="G77" s="46"/>
      <c r="H77" s="308"/>
      <c r="I77" s="308"/>
      <c r="J77" s="308"/>
      <c r="K77" s="308"/>
      <c r="L77" s="307"/>
      <c r="M77" s="309"/>
      <c r="N77" s="347"/>
      <c r="O77" s="347"/>
      <c r="P77" s="347"/>
      <c r="Q77" s="302"/>
      <c r="R77" s="302"/>
      <c r="S77" s="302"/>
      <c r="T77" s="301"/>
      <c r="U77" s="301"/>
      <c r="V77" s="301"/>
      <c r="W77" s="301"/>
      <c r="X77" s="301"/>
      <c r="Y77" s="301"/>
      <c r="Z77" s="301"/>
      <c r="AA77" s="301"/>
      <c r="AB77" s="301"/>
      <c r="AC77" s="301"/>
      <c r="AD77" s="301"/>
      <c r="AE77" s="301"/>
      <c r="AF77" s="300"/>
      <c r="AG77" s="300"/>
      <c r="AH77" s="300"/>
      <c r="AI77" s="300"/>
      <c r="AJ77" s="300"/>
      <c r="AK77" s="300"/>
      <c r="AL77" s="300"/>
      <c r="AM77" s="300"/>
      <c r="AN77" s="300"/>
      <c r="AO77" s="300"/>
      <c r="AP77" s="300"/>
      <c r="AQ77" s="300"/>
      <c r="AR77" s="348"/>
      <c r="AS77" s="300"/>
      <c r="AT77" s="346"/>
      <c r="AU77" s="346"/>
      <c r="AV77" s="346"/>
      <c r="AW77" s="346"/>
      <c r="AX77" s="346"/>
      <c r="AY77" s="346"/>
      <c r="AZ77" s="346"/>
      <c r="BA77" s="346"/>
      <c r="BB77" s="346"/>
    </row>
    <row r="78" spans="1:60" ht="23.25" x14ac:dyDescent="0.2">
      <c r="B78" s="11"/>
      <c r="C78" s="28" t="s">
        <v>56</v>
      </c>
      <c r="D78" s="28"/>
      <c r="E78" s="35"/>
      <c r="F78" s="26"/>
      <c r="G78" s="46"/>
      <c r="H78" s="311" t="s">
        <v>139</v>
      </c>
      <c r="I78" s="308"/>
      <c r="J78" s="308"/>
      <c r="K78" s="308"/>
      <c r="L78" s="307"/>
      <c r="M78" s="309"/>
      <c r="N78" s="347"/>
      <c r="O78" s="347"/>
      <c r="P78" s="347"/>
      <c r="Q78" s="299"/>
      <c r="R78" s="299"/>
      <c r="S78" s="299"/>
      <c r="T78" s="299"/>
      <c r="U78" s="299"/>
      <c r="V78" s="299"/>
      <c r="W78" s="299"/>
      <c r="X78" s="299"/>
      <c r="Y78" s="299"/>
      <c r="Z78" s="299"/>
      <c r="AA78" s="299"/>
      <c r="AB78" s="299"/>
      <c r="AC78" s="299"/>
      <c r="AD78" s="299"/>
      <c r="AE78" s="299"/>
      <c r="AF78" s="299"/>
      <c r="AG78" s="299"/>
      <c r="AH78" s="299"/>
      <c r="AI78" s="299"/>
      <c r="AJ78" s="299"/>
      <c r="AK78" s="299"/>
      <c r="AL78" s="299"/>
      <c r="AM78" s="299"/>
      <c r="AN78" s="299"/>
      <c r="AO78" s="299"/>
      <c r="AP78" s="299"/>
      <c r="AQ78" s="299"/>
      <c r="AR78" s="299"/>
      <c r="AS78" s="299"/>
      <c r="AT78" s="299"/>
      <c r="AU78" s="299"/>
      <c r="AV78" s="299"/>
      <c r="AW78" s="299"/>
      <c r="AX78" s="64"/>
      <c r="AY78" s="64"/>
      <c r="AZ78" s="64"/>
      <c r="BA78" s="64"/>
      <c r="BB78" s="64"/>
    </row>
    <row r="79" spans="1:60" ht="13.5" customHeight="1" thickBot="1" x14ac:dyDescent="0.25">
      <c r="B79" s="11"/>
      <c r="C79" s="48"/>
      <c r="D79" s="48"/>
      <c r="E79" s="35"/>
      <c r="F79" s="26"/>
      <c r="G79" s="49"/>
      <c r="H79" s="312"/>
      <c r="I79" s="312"/>
      <c r="J79" s="312"/>
      <c r="K79" s="312"/>
      <c r="L79" s="307"/>
      <c r="M79" s="309"/>
      <c r="N79" s="347"/>
      <c r="O79" s="347"/>
      <c r="P79" s="347"/>
      <c r="Q79" s="299"/>
      <c r="R79" s="299"/>
      <c r="S79" s="299"/>
      <c r="T79" s="299"/>
      <c r="U79" s="299"/>
      <c r="V79" s="299"/>
      <c r="W79" s="299"/>
      <c r="X79" s="299"/>
      <c r="Y79" s="299"/>
      <c r="Z79" s="299"/>
      <c r="AA79" s="299"/>
      <c r="AB79" s="299"/>
      <c r="AC79" s="299"/>
      <c r="AD79" s="299"/>
      <c r="AE79" s="299"/>
      <c r="AF79" s="299"/>
      <c r="AG79" s="299"/>
      <c r="AH79" s="299"/>
      <c r="AI79" s="299"/>
      <c r="AJ79" s="299"/>
      <c r="AK79" s="299"/>
      <c r="AL79" s="299"/>
      <c r="AM79" s="299"/>
      <c r="AN79" s="299"/>
      <c r="AO79" s="299"/>
      <c r="AP79" s="299"/>
      <c r="AQ79" s="299"/>
      <c r="AR79" s="299"/>
      <c r="AS79" s="299"/>
      <c r="AT79" s="299"/>
      <c r="AU79" s="299"/>
      <c r="AV79" s="299"/>
      <c r="AW79" s="299"/>
      <c r="AX79" s="64"/>
      <c r="AY79" s="64"/>
      <c r="AZ79" s="64"/>
      <c r="BA79" s="64"/>
      <c r="BB79" s="64"/>
    </row>
    <row r="80" spans="1:60" ht="13.5" customHeight="1" thickTop="1" thickBot="1" x14ac:dyDescent="0.25">
      <c r="B80" s="11"/>
      <c r="C80" s="26" t="s">
        <v>18</v>
      </c>
      <c r="D80" s="26"/>
      <c r="E80" s="35"/>
      <c r="F80" s="26"/>
      <c r="G80" s="46"/>
      <c r="H80" s="541" t="str">
        <f>'Invoer gegevens'!M13</f>
        <v>Y</v>
      </c>
      <c r="I80" s="542"/>
      <c r="J80" s="308"/>
      <c r="K80" s="308"/>
      <c r="L80" s="307"/>
      <c r="M80" s="309"/>
      <c r="N80" s="347"/>
      <c r="O80" s="347"/>
      <c r="P80" s="347"/>
      <c r="Q80" s="299"/>
      <c r="R80" s="299"/>
      <c r="S80" s="299"/>
      <c r="T80" s="299"/>
      <c r="U80" s="299"/>
      <c r="V80" s="299"/>
      <c r="W80" s="299"/>
      <c r="X80" s="299"/>
      <c r="Y80" s="299"/>
      <c r="Z80" s="299"/>
      <c r="AA80" s="299"/>
      <c r="AB80" s="299"/>
      <c r="AC80" s="299"/>
      <c r="AD80" s="299"/>
      <c r="AE80" s="299"/>
      <c r="AF80" s="299"/>
      <c r="AG80" s="299"/>
      <c r="AH80" s="299"/>
      <c r="AI80" s="299"/>
      <c r="AJ80" s="299"/>
      <c r="AK80" s="299"/>
      <c r="AL80" s="299"/>
      <c r="AM80" s="299"/>
      <c r="AN80" s="299"/>
      <c r="AO80" s="299"/>
      <c r="AP80" s="299"/>
      <c r="AQ80" s="299"/>
      <c r="AR80" s="299"/>
      <c r="AS80" s="299"/>
      <c r="AT80" s="299"/>
      <c r="AU80" s="299"/>
      <c r="AV80" s="299"/>
      <c r="AW80" s="299"/>
      <c r="AX80" s="64"/>
      <c r="AY80" s="64"/>
      <c r="AZ80" s="64"/>
      <c r="BA80" s="64"/>
      <c r="BB80" s="64"/>
    </row>
    <row r="81" spans="2:82" ht="13.5" customHeight="1" thickTop="1" thickBot="1" x14ac:dyDescent="0.25">
      <c r="B81" s="15"/>
      <c r="C81" s="26" t="s">
        <v>39</v>
      </c>
      <c r="D81" s="26"/>
      <c r="E81" s="35"/>
      <c r="F81" s="28"/>
      <c r="G81" s="46"/>
      <c r="H81" s="543">
        <f>'Invoer gegevens'!M14</f>
        <v>28491</v>
      </c>
      <c r="I81" s="544"/>
      <c r="J81" s="308"/>
      <c r="K81" s="308"/>
      <c r="L81" s="307"/>
      <c r="M81" s="309"/>
      <c r="N81" s="347"/>
      <c r="O81" s="347"/>
      <c r="P81" s="347"/>
      <c r="Q81" s="299"/>
      <c r="R81" s="299"/>
      <c r="S81" s="299"/>
      <c r="T81" s="299"/>
      <c r="U81" s="299"/>
      <c r="V81" s="299"/>
      <c r="W81" s="299"/>
      <c r="X81" s="299"/>
      <c r="Y81" s="299"/>
      <c r="Z81" s="299"/>
      <c r="AA81" s="299"/>
      <c r="AB81" s="299"/>
      <c r="AC81" s="299"/>
      <c r="AD81" s="299"/>
      <c r="AE81" s="299"/>
      <c r="AF81" s="299"/>
      <c r="AG81" s="299"/>
      <c r="AH81" s="299"/>
      <c r="AI81" s="299"/>
      <c r="AJ81" s="299"/>
      <c r="AK81" s="299"/>
      <c r="AL81" s="299"/>
      <c r="AM81" s="299"/>
      <c r="AN81" s="299"/>
      <c r="AO81" s="299"/>
      <c r="AP81" s="299"/>
      <c r="AQ81" s="299"/>
      <c r="AR81" s="299"/>
      <c r="AS81" s="299"/>
      <c r="AT81" s="299"/>
      <c r="AU81" s="299"/>
      <c r="AV81" s="299"/>
      <c r="AW81" s="299"/>
      <c r="AX81" s="64"/>
      <c r="AY81" s="64"/>
      <c r="AZ81" s="64"/>
      <c r="BA81" s="64"/>
      <c r="BB81" s="64"/>
    </row>
    <row r="82" spans="2:82" ht="13.5" customHeight="1" thickTop="1" thickBot="1" x14ac:dyDescent="0.25">
      <c r="B82" s="15"/>
      <c r="C82" s="26"/>
      <c r="D82" s="26"/>
      <c r="E82" s="35"/>
      <c r="F82" s="28"/>
      <c r="G82" s="46"/>
      <c r="H82" s="308"/>
      <c r="I82" s="308"/>
      <c r="J82" s="308"/>
      <c r="K82" s="308"/>
      <c r="L82" s="307"/>
      <c r="M82" s="309"/>
      <c r="N82" s="347"/>
      <c r="O82" s="347"/>
      <c r="P82" s="347"/>
      <c r="Q82" s="299"/>
      <c r="R82" s="299"/>
      <c r="S82" s="299"/>
      <c r="T82" s="299"/>
      <c r="U82" s="299"/>
      <c r="V82" s="299"/>
      <c r="W82" s="299"/>
      <c r="X82" s="299"/>
      <c r="Y82" s="299"/>
      <c r="Z82" s="299"/>
      <c r="AA82" s="299"/>
      <c r="AB82" s="299"/>
      <c r="AC82" s="299"/>
      <c r="AD82" s="299"/>
      <c r="AE82" s="299"/>
      <c r="AF82" s="299"/>
      <c r="AG82" s="299"/>
      <c r="AH82" s="299"/>
      <c r="AI82" s="299"/>
      <c r="AJ82" s="299"/>
      <c r="AK82" s="299"/>
      <c r="AL82" s="299"/>
      <c r="AM82" s="299"/>
      <c r="AN82" s="299"/>
      <c r="AO82" s="299"/>
      <c r="AP82" s="299"/>
      <c r="AQ82" s="299"/>
      <c r="AR82" s="299"/>
      <c r="AS82" s="299"/>
      <c r="AT82" s="299"/>
      <c r="AU82" s="299"/>
      <c r="AV82" s="299"/>
      <c r="AW82" s="299"/>
      <c r="AX82" s="64"/>
      <c r="AY82" s="64"/>
      <c r="AZ82" s="64"/>
      <c r="BA82" s="64"/>
      <c r="BB82" s="64"/>
    </row>
    <row r="83" spans="2:82" ht="13.5" customHeight="1" thickTop="1" thickBot="1" x14ac:dyDescent="0.25">
      <c r="B83" s="15"/>
      <c r="C83" s="26" t="s">
        <v>98</v>
      </c>
      <c r="D83" s="26"/>
      <c r="E83" s="35"/>
      <c r="F83" s="28"/>
      <c r="G83" s="46"/>
      <c r="H83" s="314" t="s">
        <v>94</v>
      </c>
      <c r="I83" s="308"/>
      <c r="J83" s="308"/>
      <c r="K83" s="308"/>
      <c r="L83" s="307"/>
      <c r="M83" s="309"/>
      <c r="N83" s="347"/>
      <c r="O83" s="347"/>
      <c r="P83" s="347"/>
      <c r="Q83" s="299"/>
      <c r="R83" s="299"/>
      <c r="S83" s="299"/>
      <c r="T83" s="299"/>
      <c r="U83" s="299"/>
      <c r="V83" s="299"/>
      <c r="W83" s="299"/>
      <c r="X83" s="299"/>
      <c r="Y83" s="299"/>
      <c r="Z83" s="299"/>
      <c r="AA83" s="299"/>
      <c r="AB83" s="299"/>
      <c r="AC83" s="299"/>
      <c r="AD83" s="299"/>
      <c r="AE83" s="299"/>
      <c r="AF83" s="299"/>
      <c r="AG83" s="299"/>
      <c r="AH83" s="299"/>
      <c r="AI83" s="299"/>
      <c r="AJ83" s="299"/>
      <c r="AK83" s="299"/>
      <c r="AL83" s="299"/>
      <c r="AM83" s="299"/>
      <c r="AN83" s="299"/>
      <c r="AO83" s="299"/>
      <c r="AP83" s="299"/>
      <c r="AQ83" s="299"/>
      <c r="AR83" s="299"/>
      <c r="AS83" s="299"/>
      <c r="AT83" s="299"/>
      <c r="AU83" s="299"/>
      <c r="AV83" s="299"/>
      <c r="AW83" s="299"/>
      <c r="AX83" s="64"/>
      <c r="AY83" s="64"/>
      <c r="AZ83" s="64"/>
      <c r="BA83" s="64"/>
      <c r="BB83" s="64"/>
    </row>
    <row r="84" spans="2:82" ht="13.5" customHeight="1" thickTop="1" thickBot="1" x14ac:dyDescent="0.25">
      <c r="B84" s="15"/>
      <c r="C84" s="26" t="s">
        <v>96</v>
      </c>
      <c r="D84" s="26"/>
      <c r="E84" s="35"/>
      <c r="F84" s="28"/>
      <c r="G84" s="46"/>
      <c r="H84" s="315">
        <f>'Invoer gegevens'!N26</f>
        <v>0.7</v>
      </c>
      <c r="I84" s="308"/>
      <c r="J84" s="308"/>
      <c r="K84" s="308"/>
      <c r="L84" s="307"/>
      <c r="M84" s="309"/>
      <c r="N84" s="347"/>
      <c r="O84" s="347"/>
      <c r="P84" s="347"/>
      <c r="Q84" s="299"/>
      <c r="R84" s="299"/>
      <c r="S84" s="299"/>
      <c r="T84" s="299"/>
      <c r="U84" s="299"/>
      <c r="V84" s="299"/>
      <c r="W84" s="299"/>
      <c r="X84" s="299"/>
      <c r="Y84" s="349"/>
      <c r="Z84" s="349"/>
      <c r="AA84" s="349"/>
      <c r="AB84" s="349"/>
      <c r="AC84" s="349"/>
      <c r="AD84" s="349"/>
      <c r="AE84" s="349"/>
      <c r="AF84" s="349"/>
      <c r="AG84" s="349"/>
      <c r="AH84" s="349"/>
      <c r="AI84" s="349"/>
      <c r="AJ84" s="299"/>
      <c r="AK84" s="299"/>
      <c r="AL84" s="299"/>
      <c r="AM84" s="299"/>
      <c r="AN84" s="299"/>
      <c r="AO84" s="299"/>
      <c r="AP84" s="299"/>
      <c r="AQ84" s="299"/>
      <c r="AR84" s="299"/>
      <c r="AS84" s="299"/>
      <c r="AT84" s="299"/>
      <c r="AU84" s="299"/>
      <c r="AV84" s="299"/>
      <c r="AW84" s="299"/>
      <c r="AX84" s="64"/>
      <c r="AY84" s="64"/>
      <c r="AZ84" s="64"/>
      <c r="BA84" s="64"/>
      <c r="BB84" s="64"/>
    </row>
    <row r="85" spans="2:82" ht="13.5" customHeight="1" thickTop="1" thickBot="1" x14ac:dyDescent="0.25">
      <c r="B85" s="15"/>
      <c r="C85" s="26" t="s">
        <v>95</v>
      </c>
      <c r="D85" s="26"/>
      <c r="E85" s="35"/>
      <c r="F85" s="28"/>
      <c r="G85" s="46"/>
      <c r="H85" s="315" t="s">
        <v>336</v>
      </c>
      <c r="I85" s="308"/>
      <c r="J85" s="308"/>
      <c r="K85" s="308"/>
      <c r="L85" s="307"/>
      <c r="M85" s="309"/>
      <c r="N85" s="347"/>
      <c r="O85" s="347"/>
      <c r="P85" s="347"/>
      <c r="Q85" s="299"/>
      <c r="R85" s="299"/>
      <c r="S85" s="299"/>
      <c r="T85" s="299"/>
      <c r="U85" s="299"/>
      <c r="V85" s="299"/>
      <c r="W85" s="299"/>
      <c r="X85" s="299"/>
      <c r="Y85" s="350"/>
      <c r="Z85" s="350"/>
      <c r="AA85" s="350"/>
      <c r="AB85" s="350"/>
      <c r="AC85" s="350"/>
      <c r="AD85" s="350"/>
      <c r="AE85" s="350"/>
      <c r="AF85" s="350"/>
      <c r="AG85" s="350"/>
      <c r="AH85" s="350"/>
      <c r="AI85" s="350"/>
      <c r="AJ85" s="299"/>
      <c r="AK85" s="299"/>
      <c r="AL85" s="299"/>
      <c r="AM85" s="299"/>
      <c r="AN85" s="299"/>
      <c r="AO85" s="299"/>
      <c r="AP85" s="299"/>
      <c r="AQ85" s="299"/>
      <c r="AR85" s="299"/>
      <c r="AS85" s="299"/>
      <c r="AT85" s="299"/>
      <c r="AU85" s="299"/>
      <c r="AV85" s="299"/>
      <c r="AW85" s="299"/>
      <c r="AX85" s="64"/>
      <c r="AY85" s="64"/>
      <c r="AZ85" s="64"/>
      <c r="BA85" s="64"/>
      <c r="BB85" s="64"/>
    </row>
    <row r="86" spans="2:82" ht="13.5" customHeight="1" thickTop="1" thickBot="1" x14ac:dyDescent="0.25">
      <c r="B86" s="15"/>
      <c r="C86" s="26" t="s">
        <v>97</v>
      </c>
      <c r="D86" s="26"/>
      <c r="E86" s="35"/>
      <c r="F86" s="11"/>
      <c r="G86" s="11"/>
      <c r="H86" s="315" t="s">
        <v>336</v>
      </c>
      <c r="I86" s="306"/>
      <c r="J86" s="306"/>
      <c r="K86" s="306"/>
      <c r="L86" s="306"/>
      <c r="M86" s="309"/>
      <c r="N86" s="347"/>
      <c r="O86" s="347"/>
      <c r="P86" s="347"/>
      <c r="Q86" s="299"/>
      <c r="R86" s="299"/>
      <c r="S86" s="299"/>
      <c r="T86" s="299"/>
      <c r="U86" s="299"/>
      <c r="V86" s="299"/>
      <c r="W86" s="299"/>
      <c r="X86" s="299"/>
      <c r="Y86" s="350"/>
      <c r="Z86" s="350"/>
      <c r="AA86" s="350"/>
      <c r="AB86" s="350"/>
      <c r="AC86" s="350"/>
      <c r="AD86" s="350"/>
      <c r="AE86" s="350"/>
      <c r="AF86" s="350"/>
      <c r="AG86" s="350"/>
      <c r="AH86" s="350"/>
      <c r="AI86" s="350"/>
      <c r="AJ86" s="299"/>
      <c r="AK86" s="299"/>
      <c r="AL86" s="299"/>
      <c r="AM86" s="299"/>
      <c r="AN86" s="299"/>
      <c r="AO86" s="299"/>
      <c r="AP86" s="299"/>
      <c r="AQ86" s="299"/>
      <c r="AR86" s="299"/>
      <c r="AS86" s="299"/>
      <c r="AT86" s="299"/>
      <c r="AU86" s="299"/>
      <c r="AV86" s="299"/>
      <c r="AW86" s="299"/>
      <c r="AX86" s="64"/>
      <c r="AY86" s="64"/>
      <c r="AZ86" s="64"/>
      <c r="BA86" s="64"/>
      <c r="BB86" s="64"/>
    </row>
    <row r="87" spans="2:82" ht="13.5" customHeight="1" thickTop="1" x14ac:dyDescent="0.2">
      <c r="B87" s="15"/>
      <c r="C87" s="26"/>
      <c r="D87" s="26"/>
      <c r="E87" s="35"/>
      <c r="F87" s="26"/>
      <c r="G87" s="26"/>
      <c r="H87" s="312"/>
      <c r="I87" s="312"/>
      <c r="J87" s="312"/>
      <c r="K87" s="312"/>
      <c r="L87" s="307"/>
      <c r="M87" s="309"/>
      <c r="N87" s="347"/>
      <c r="O87" s="347"/>
      <c r="P87" s="347"/>
      <c r="Q87" s="299"/>
      <c r="R87" s="299"/>
      <c r="S87" s="299"/>
      <c r="T87" s="299"/>
      <c r="U87" s="299"/>
      <c r="V87" s="299"/>
      <c r="W87" s="299"/>
      <c r="X87" s="299"/>
      <c r="Y87" s="299"/>
      <c r="Z87" s="299"/>
      <c r="AA87" s="299"/>
      <c r="AB87" s="299"/>
      <c r="AC87" s="299"/>
      <c r="AD87" s="299"/>
      <c r="AE87" s="299"/>
      <c r="AF87" s="299"/>
      <c r="AG87" s="299"/>
      <c r="AH87" s="299"/>
      <c r="AI87" s="299"/>
      <c r="AJ87" s="299"/>
      <c r="AK87" s="299"/>
      <c r="AL87" s="299"/>
      <c r="AM87" s="299"/>
      <c r="AN87" s="299"/>
      <c r="AO87" s="299"/>
      <c r="AP87" s="299"/>
      <c r="AQ87" s="299"/>
      <c r="AR87" s="299"/>
      <c r="AS87" s="299"/>
      <c r="AT87" s="299"/>
      <c r="AU87" s="299"/>
      <c r="AV87" s="299"/>
      <c r="AW87" s="299"/>
      <c r="AX87" s="64"/>
      <c r="AY87" s="64"/>
      <c r="AZ87" s="64"/>
      <c r="BA87" s="64"/>
      <c r="BB87" s="64"/>
    </row>
    <row r="88" spans="2:82" ht="13.5" customHeight="1" x14ac:dyDescent="0.2">
      <c r="E88" s="35"/>
      <c r="F88" s="12"/>
      <c r="G88" s="12"/>
      <c r="H88" s="351"/>
      <c r="I88" s="351"/>
      <c r="J88" s="351"/>
      <c r="K88" s="351"/>
      <c r="L88" s="304"/>
      <c r="M88" s="309"/>
      <c r="N88" s="309"/>
      <c r="O88" s="309"/>
      <c r="P88" s="309"/>
      <c r="Q88" s="299"/>
      <c r="R88" s="299"/>
      <c r="S88" s="299"/>
      <c r="T88" s="299"/>
      <c r="U88" s="299"/>
      <c r="V88" s="299"/>
      <c r="W88" s="299"/>
      <c r="X88" s="299"/>
      <c r="Y88" s="299"/>
      <c r="Z88" s="299"/>
      <c r="AA88" s="299"/>
      <c r="AB88" s="299"/>
      <c r="AC88" s="299"/>
      <c r="AD88" s="299"/>
      <c r="AE88" s="299"/>
      <c r="AF88" s="299"/>
      <c r="AG88" s="299"/>
      <c r="AH88" s="299"/>
      <c r="AI88" s="299"/>
      <c r="AJ88" s="299"/>
      <c r="AK88" s="299"/>
      <c r="AL88" s="299"/>
      <c r="AM88" s="299"/>
      <c r="AN88" s="299"/>
      <c r="AO88" s="299"/>
      <c r="AP88" s="299"/>
      <c r="AQ88" s="299"/>
      <c r="AR88" s="299"/>
      <c r="AS88" s="299"/>
      <c r="AT88" s="299"/>
      <c r="AU88" s="299"/>
      <c r="AV88" s="299"/>
      <c r="AW88" s="299"/>
      <c r="AX88" s="64"/>
      <c r="AY88" s="64"/>
      <c r="AZ88" s="64"/>
      <c r="BA88" s="64"/>
      <c r="BB88" s="64"/>
    </row>
    <row r="89" spans="2:82" ht="13.5" customHeight="1" thickBot="1" x14ac:dyDescent="0.25">
      <c r="B89" s="11"/>
      <c r="C89" s="28"/>
      <c r="D89" s="28"/>
      <c r="E89" s="35"/>
      <c r="F89" s="26"/>
      <c r="G89" s="46"/>
      <c r="H89" s="308"/>
      <c r="I89" s="308"/>
      <c r="J89" s="308"/>
      <c r="K89" s="308"/>
      <c r="L89" s="307"/>
      <c r="M89" s="309"/>
      <c r="N89" s="347"/>
      <c r="O89" s="347"/>
      <c r="P89" s="347"/>
      <c r="Q89" s="299"/>
      <c r="R89" s="299"/>
      <c r="S89" s="299"/>
      <c r="T89" s="299"/>
      <c r="U89" s="299"/>
      <c r="V89" s="299"/>
      <c r="W89" s="299"/>
      <c r="X89" s="299"/>
      <c r="Y89" s="299"/>
      <c r="Z89" s="299"/>
      <c r="AA89" s="299"/>
      <c r="AB89" s="299"/>
      <c r="AC89" s="299"/>
      <c r="AD89" s="299"/>
      <c r="AE89" s="299"/>
      <c r="AF89" s="299"/>
      <c r="AG89" s="299"/>
      <c r="AH89" s="299"/>
      <c r="AI89" s="299"/>
      <c r="AJ89" s="299"/>
      <c r="AK89" s="299"/>
      <c r="AL89" s="299"/>
      <c r="AM89" s="299"/>
      <c r="AN89" s="299"/>
      <c r="AO89" s="299"/>
      <c r="AP89" s="299"/>
      <c r="AQ89" s="299"/>
      <c r="AR89" s="299"/>
      <c r="AS89" s="299"/>
      <c r="AT89" s="299"/>
      <c r="AU89" s="299"/>
      <c r="AV89" s="299"/>
      <c r="AW89" s="299"/>
      <c r="AX89" s="64"/>
      <c r="AY89" s="64"/>
      <c r="AZ89" s="64"/>
      <c r="BA89" s="64"/>
      <c r="BB89" s="64"/>
    </row>
    <row r="90" spans="2:82" ht="13.5" customHeight="1" thickTop="1" thickBot="1" x14ac:dyDescent="0.25">
      <c r="B90" s="11"/>
      <c r="C90" s="28"/>
      <c r="D90" s="28"/>
      <c r="E90" s="35"/>
      <c r="F90" s="26"/>
      <c r="G90" s="46"/>
      <c r="H90" s="317" t="s">
        <v>133</v>
      </c>
      <c r="I90" s="317"/>
      <c r="J90" s="317"/>
      <c r="K90" s="317"/>
      <c r="L90" s="317"/>
      <c r="M90" s="317"/>
      <c r="N90" s="317"/>
      <c r="O90" s="317"/>
      <c r="P90" s="317"/>
      <c r="Q90" s="317"/>
      <c r="R90" s="317"/>
      <c r="S90" s="325"/>
      <c r="T90" s="317"/>
      <c r="U90" s="317"/>
      <c r="V90" s="317"/>
      <c r="W90" s="317"/>
      <c r="X90" s="317"/>
      <c r="Y90" s="317"/>
      <c r="Z90" s="317"/>
      <c r="AA90" s="317"/>
      <c r="AB90" s="317"/>
      <c r="AC90" s="317"/>
      <c r="AD90" s="317"/>
      <c r="AE90" s="312"/>
      <c r="AF90" s="317" t="s">
        <v>134</v>
      </c>
      <c r="AG90" s="317"/>
      <c r="AH90" s="317"/>
      <c r="AI90" s="317"/>
      <c r="AJ90" s="317"/>
      <c r="AK90" s="317"/>
      <c r="AL90" s="317"/>
      <c r="AM90" s="317"/>
      <c r="AN90" s="317"/>
      <c r="AO90" s="317"/>
      <c r="AP90" s="352"/>
      <c r="AQ90" s="353"/>
      <c r="AR90" s="354"/>
      <c r="AS90" s="317"/>
      <c r="AT90" s="317"/>
      <c r="AU90" s="317"/>
      <c r="AV90" s="317"/>
      <c r="AW90" s="317"/>
      <c r="AX90" s="317"/>
      <c r="AY90" s="317"/>
      <c r="AZ90" s="317"/>
      <c r="BA90" s="317"/>
      <c r="BB90" s="317"/>
      <c r="BC90" s="84"/>
      <c r="BD90" s="84"/>
      <c r="BE90" s="84"/>
      <c r="BF90" s="84"/>
      <c r="BG90" s="84"/>
      <c r="BH90" s="84"/>
      <c r="BI90" s="84"/>
      <c r="BJ90" s="84"/>
      <c r="BK90" s="84"/>
      <c r="BL90" s="84"/>
      <c r="BM90" s="84"/>
      <c r="BN90" s="84"/>
      <c r="BO90" s="84"/>
      <c r="BP90" s="84"/>
      <c r="BQ90" s="84"/>
      <c r="BR90" s="84"/>
      <c r="BS90" s="84"/>
      <c r="BT90" s="84"/>
      <c r="BU90" s="84"/>
      <c r="BV90" s="84"/>
      <c r="BW90" s="84"/>
      <c r="BX90" s="84"/>
      <c r="BY90" s="84"/>
      <c r="BZ90" s="84"/>
      <c r="CA90" s="84"/>
      <c r="CB90" s="84"/>
      <c r="CC90" s="84"/>
      <c r="CD90" s="84"/>
    </row>
    <row r="91" spans="2:82" ht="13.5" customHeight="1" thickTop="1" thickBot="1" x14ac:dyDescent="0.25">
      <c r="B91" s="11"/>
      <c r="C91" s="43" t="s">
        <v>62</v>
      </c>
      <c r="D91" s="43"/>
      <c r="E91" s="35"/>
      <c r="F91" s="26"/>
      <c r="G91" s="46"/>
      <c r="H91" s="318" t="s">
        <v>124</v>
      </c>
      <c r="I91" s="318"/>
      <c r="J91" s="318"/>
      <c r="K91" s="318"/>
      <c r="L91" s="318"/>
      <c r="M91" s="318"/>
      <c r="N91" s="318"/>
      <c r="O91" s="318"/>
      <c r="P91" s="318"/>
      <c r="Q91" s="318"/>
      <c r="R91" s="318"/>
      <c r="S91" s="325"/>
      <c r="T91" s="318" t="s">
        <v>125</v>
      </c>
      <c r="U91" s="318"/>
      <c r="V91" s="318"/>
      <c r="W91" s="318"/>
      <c r="X91" s="318"/>
      <c r="Y91" s="318"/>
      <c r="Z91" s="318"/>
      <c r="AA91" s="318"/>
      <c r="AB91" s="318"/>
      <c r="AC91" s="318"/>
      <c r="AD91" s="318"/>
      <c r="AE91" s="312"/>
      <c r="AF91" s="318" t="s">
        <v>124</v>
      </c>
      <c r="AG91" s="318"/>
      <c r="AH91" s="318"/>
      <c r="AI91" s="318"/>
      <c r="AJ91" s="318"/>
      <c r="AK91" s="318"/>
      <c r="AL91" s="318"/>
      <c r="AM91" s="318"/>
      <c r="AN91" s="318"/>
      <c r="AO91" s="318"/>
      <c r="AP91" s="318"/>
      <c r="AQ91" s="323"/>
      <c r="AR91" s="318" t="s">
        <v>125</v>
      </c>
      <c r="AS91" s="318"/>
      <c r="AT91" s="318"/>
      <c r="AU91" s="318"/>
      <c r="AV91" s="318"/>
      <c r="AW91" s="318"/>
      <c r="AX91" s="318"/>
      <c r="AY91" s="318"/>
      <c r="AZ91" s="318"/>
      <c r="BA91" s="318"/>
      <c r="BB91" s="318"/>
      <c r="BC91" s="84"/>
      <c r="BD91" s="84"/>
      <c r="BE91" s="84"/>
      <c r="BF91" s="84"/>
      <c r="BG91" s="84"/>
      <c r="BH91" s="84"/>
      <c r="BI91" s="84"/>
      <c r="BJ91" s="84"/>
      <c r="BK91" s="84"/>
      <c r="BL91" s="84"/>
      <c r="BM91" s="84"/>
      <c r="BN91" s="84"/>
      <c r="BO91" s="84"/>
      <c r="BP91" s="84"/>
      <c r="BQ91" s="84"/>
      <c r="BR91" s="84"/>
      <c r="BS91" s="84"/>
      <c r="BT91" s="84"/>
      <c r="BU91" s="84"/>
      <c r="BV91" s="84"/>
      <c r="BW91" s="84"/>
      <c r="BX91" s="84"/>
      <c r="BY91" s="84"/>
      <c r="BZ91" s="84"/>
      <c r="CA91" s="84"/>
      <c r="CB91" s="84"/>
      <c r="CC91" s="84"/>
      <c r="CD91" s="84"/>
    </row>
    <row r="92" spans="2:82" ht="13.5" customHeight="1" thickTop="1" thickBot="1" x14ac:dyDescent="0.25">
      <c r="B92" s="11"/>
      <c r="C92" s="43"/>
      <c r="D92" s="43"/>
      <c r="E92" s="35"/>
      <c r="F92" s="26"/>
      <c r="G92" s="46"/>
      <c r="H92" s="318">
        <f t="shared" ref="H92:R92" si="223">H20</f>
        <v>2023</v>
      </c>
      <c r="I92" s="318">
        <f t="shared" si="223"/>
        <v>2024</v>
      </c>
      <c r="J92" s="318">
        <f t="shared" si="223"/>
        <v>2025</v>
      </c>
      <c r="K92" s="318" t="str">
        <f t="shared" si="223"/>
        <v>[leeg]</v>
      </c>
      <c r="L92" s="318" t="str">
        <f t="shared" si="223"/>
        <v>[leeg]</v>
      </c>
      <c r="M92" s="318" t="str">
        <f t="shared" si="223"/>
        <v>[leeg]</v>
      </c>
      <c r="N92" s="318" t="str">
        <f t="shared" si="223"/>
        <v>[leeg]</v>
      </c>
      <c r="O92" s="318" t="str">
        <f t="shared" si="223"/>
        <v>[leeg]</v>
      </c>
      <c r="P92" s="318" t="str">
        <f t="shared" si="223"/>
        <v>[leeg]</v>
      </c>
      <c r="Q92" s="318" t="str">
        <f t="shared" si="223"/>
        <v>[leeg]</v>
      </c>
      <c r="R92" s="318" t="str">
        <f t="shared" si="223"/>
        <v>Totaal</v>
      </c>
      <c r="S92" s="325"/>
      <c r="T92" s="318">
        <f>H92</f>
        <v>2023</v>
      </c>
      <c r="U92" s="318">
        <f t="shared" ref="U92:AD92" si="224">I92</f>
        <v>2024</v>
      </c>
      <c r="V92" s="318">
        <f t="shared" si="224"/>
        <v>2025</v>
      </c>
      <c r="W92" s="318" t="str">
        <f t="shared" si="224"/>
        <v>[leeg]</v>
      </c>
      <c r="X92" s="318" t="str">
        <f t="shared" si="224"/>
        <v>[leeg]</v>
      </c>
      <c r="Y92" s="318" t="str">
        <f t="shared" si="224"/>
        <v>[leeg]</v>
      </c>
      <c r="Z92" s="318" t="str">
        <f t="shared" si="224"/>
        <v>[leeg]</v>
      </c>
      <c r="AA92" s="318" t="str">
        <f t="shared" si="224"/>
        <v>[leeg]</v>
      </c>
      <c r="AB92" s="318" t="str">
        <f t="shared" si="224"/>
        <v>[leeg]</v>
      </c>
      <c r="AC92" s="318" t="str">
        <f t="shared" si="224"/>
        <v>[leeg]</v>
      </c>
      <c r="AD92" s="318" t="str">
        <f t="shared" si="224"/>
        <v>Totaal</v>
      </c>
      <c r="AE92" s="312"/>
      <c r="AF92" s="318">
        <f>T92</f>
        <v>2023</v>
      </c>
      <c r="AG92" s="318">
        <f t="shared" ref="AG92:AP92" si="225">U92</f>
        <v>2024</v>
      </c>
      <c r="AH92" s="318">
        <f t="shared" si="225"/>
        <v>2025</v>
      </c>
      <c r="AI92" s="318" t="str">
        <f t="shared" si="225"/>
        <v>[leeg]</v>
      </c>
      <c r="AJ92" s="318" t="str">
        <f t="shared" si="225"/>
        <v>[leeg]</v>
      </c>
      <c r="AK92" s="318" t="str">
        <f t="shared" si="225"/>
        <v>[leeg]</v>
      </c>
      <c r="AL92" s="318" t="str">
        <f t="shared" si="225"/>
        <v>[leeg]</v>
      </c>
      <c r="AM92" s="318" t="str">
        <f t="shared" si="225"/>
        <v>[leeg]</v>
      </c>
      <c r="AN92" s="318" t="str">
        <f t="shared" si="225"/>
        <v>[leeg]</v>
      </c>
      <c r="AO92" s="318" t="str">
        <f t="shared" si="225"/>
        <v>[leeg]</v>
      </c>
      <c r="AP92" s="318" t="str">
        <f t="shared" si="225"/>
        <v>Totaal</v>
      </c>
      <c r="AQ92" s="323"/>
      <c r="AR92" s="318">
        <f>AF92</f>
        <v>2023</v>
      </c>
      <c r="AS92" s="318">
        <f t="shared" ref="AS92" si="226">AG92</f>
        <v>2024</v>
      </c>
      <c r="AT92" s="318">
        <f t="shared" ref="AT92" si="227">AH92</f>
        <v>2025</v>
      </c>
      <c r="AU92" s="318" t="str">
        <f t="shared" ref="AU92" si="228">AI92</f>
        <v>[leeg]</v>
      </c>
      <c r="AV92" s="318" t="str">
        <f t="shared" ref="AV92" si="229">AJ92</f>
        <v>[leeg]</v>
      </c>
      <c r="AW92" s="318" t="str">
        <f t="shared" ref="AW92" si="230">AK92</f>
        <v>[leeg]</v>
      </c>
      <c r="AX92" s="318" t="str">
        <f t="shared" ref="AX92" si="231">AL92</f>
        <v>[leeg]</v>
      </c>
      <c r="AY92" s="318" t="str">
        <f t="shared" ref="AY92" si="232">AM92</f>
        <v>[leeg]</v>
      </c>
      <c r="AZ92" s="318" t="str">
        <f t="shared" ref="AZ92" si="233">AN92</f>
        <v>[leeg]</v>
      </c>
      <c r="BA92" s="318" t="str">
        <f t="shared" ref="BA92" si="234">AO92</f>
        <v>[leeg]</v>
      </c>
      <c r="BB92" s="318" t="str">
        <f t="shared" ref="BB92" si="235">AP92</f>
        <v>Totaal</v>
      </c>
      <c r="BC92" s="84"/>
      <c r="BD92" s="84"/>
      <c r="BE92" s="84"/>
      <c r="BF92" s="84"/>
      <c r="BG92" s="84"/>
      <c r="BH92" s="84"/>
      <c r="BI92" s="84"/>
      <c r="BJ92" s="84"/>
      <c r="BK92" s="84"/>
      <c r="BL92" s="84"/>
      <c r="BM92" s="84"/>
      <c r="BN92" s="84"/>
      <c r="BO92" s="84"/>
      <c r="BP92" s="84"/>
      <c r="BQ92" s="84"/>
      <c r="BR92" s="84"/>
      <c r="BS92" s="84"/>
      <c r="BT92" s="84"/>
      <c r="BU92" s="84"/>
      <c r="BV92" s="84"/>
      <c r="BW92" s="84"/>
      <c r="BX92" s="84"/>
      <c r="BY92" s="84"/>
      <c r="BZ92" s="84"/>
      <c r="CA92" s="84"/>
      <c r="CB92" s="84"/>
      <c r="CC92" s="84"/>
      <c r="CD92" s="84"/>
    </row>
    <row r="93" spans="2:82" ht="13.5" customHeight="1" thickTop="1" thickBot="1" x14ac:dyDescent="0.25">
      <c r="B93" s="11"/>
      <c r="C93" s="48" t="s">
        <v>5</v>
      </c>
      <c r="D93" s="48"/>
      <c r="E93" s="35"/>
      <c r="F93" s="26"/>
      <c r="G93" s="46"/>
      <c r="H93" s="308"/>
      <c r="I93" s="308"/>
      <c r="J93" s="308"/>
      <c r="K93" s="308"/>
      <c r="L93" s="308"/>
      <c r="M93" s="308"/>
      <c r="N93" s="308"/>
      <c r="O93" s="308"/>
      <c r="P93" s="308"/>
      <c r="Q93" s="308"/>
      <c r="R93" s="308"/>
      <c r="S93" s="325"/>
      <c r="T93" s="308"/>
      <c r="U93" s="308"/>
      <c r="V93" s="308"/>
      <c r="W93" s="308"/>
      <c r="X93" s="308"/>
      <c r="Y93" s="308"/>
      <c r="Z93" s="308"/>
      <c r="AA93" s="308"/>
      <c r="AB93" s="308"/>
      <c r="AC93" s="308"/>
      <c r="AD93" s="308"/>
      <c r="AE93" s="312"/>
      <c r="AF93" s="308"/>
      <c r="AG93" s="308"/>
      <c r="AH93" s="308"/>
      <c r="AI93" s="308"/>
      <c r="AJ93" s="308"/>
      <c r="AK93" s="308"/>
      <c r="AL93" s="308"/>
      <c r="AM93" s="308"/>
      <c r="AN93" s="308"/>
      <c r="AO93" s="308"/>
      <c r="AP93" s="308"/>
      <c r="AQ93" s="323"/>
      <c r="AR93" s="308"/>
      <c r="AS93" s="308"/>
      <c r="AT93" s="308"/>
      <c r="AU93" s="308"/>
      <c r="AV93" s="308"/>
      <c r="AW93" s="308"/>
      <c r="AX93" s="308"/>
      <c r="AY93" s="308"/>
      <c r="AZ93" s="308"/>
      <c r="BA93" s="308"/>
      <c r="BB93" s="308"/>
      <c r="BC93" s="84"/>
      <c r="BD93" s="84"/>
      <c r="BE93" s="84"/>
      <c r="BF93" s="84"/>
      <c r="BG93" s="84"/>
      <c r="BH93" s="84"/>
      <c r="BI93" s="84"/>
      <c r="BJ93" s="84"/>
      <c r="BK93" s="84"/>
      <c r="BL93" s="84"/>
      <c r="BM93" s="84"/>
      <c r="BN93" s="84"/>
      <c r="BO93" s="84"/>
      <c r="BP93" s="84"/>
      <c r="BQ93" s="84"/>
      <c r="BR93" s="84"/>
      <c r="BS93" s="84"/>
      <c r="BT93" s="84"/>
      <c r="BU93" s="84"/>
      <c r="BV93" s="84"/>
      <c r="BW93" s="84"/>
      <c r="BX93" s="84"/>
      <c r="BY93" s="84"/>
      <c r="BZ93" s="84"/>
      <c r="CA93" s="84"/>
      <c r="CB93" s="84"/>
      <c r="CC93" s="84"/>
      <c r="CD93" s="84"/>
    </row>
    <row r="94" spans="2:82" ht="13.5" customHeight="1" thickTop="1" thickBot="1" x14ac:dyDescent="0.25">
      <c r="B94" s="11"/>
      <c r="C94" s="26" t="s">
        <v>3</v>
      </c>
      <c r="D94" s="26"/>
      <c r="E94" s="35"/>
      <c r="F94" s="26"/>
      <c r="G94" s="46"/>
      <c r="H94" s="319" t="str">
        <f>'Invoer gegevens'!$M23</f>
        <v>LB</v>
      </c>
      <c r="I94" s="319" t="str">
        <f>IF(I$92&lt;&gt;"[leeg]",'Invoer gegevens'!$M23,"[leeg]")</f>
        <v>LB</v>
      </c>
      <c r="J94" s="319" t="str">
        <f>IF(J$92&lt;&gt;"[leeg]",'Invoer gegevens'!$M23,"[leeg]")</f>
        <v>LB</v>
      </c>
      <c r="K94" s="319" t="str">
        <f>IF(K$92&lt;&gt;"[leeg]",'Invoer gegevens'!$M23,"[leeg]")</f>
        <v>[leeg]</v>
      </c>
      <c r="L94" s="319" t="str">
        <f>IF(L$92&lt;&gt;"[leeg]",'Invoer gegevens'!$M23,"[leeg]")</f>
        <v>[leeg]</v>
      </c>
      <c r="M94" s="319" t="str">
        <f>IF(M$92&lt;&gt;"[leeg]",'Invoer gegevens'!$M23,"[leeg]")</f>
        <v>[leeg]</v>
      </c>
      <c r="N94" s="319" t="str">
        <f>IF(N$92&lt;&gt;"[leeg]",'Invoer gegevens'!$M23,"[leeg]")</f>
        <v>[leeg]</v>
      </c>
      <c r="O94" s="319" t="str">
        <f>IF(O$92&lt;&gt;"[leeg]",'Invoer gegevens'!$M23,"[leeg]")</f>
        <v>[leeg]</v>
      </c>
      <c r="P94" s="319" t="str">
        <f>IF(P$92&lt;&gt;"[leeg]",'Invoer gegevens'!$M23,"[leeg]")</f>
        <v>[leeg]</v>
      </c>
      <c r="Q94" s="319" t="str">
        <f>IF(Q$92&lt;&gt;"[leeg]",'Invoer gegevens'!$M23,"[leeg]")</f>
        <v>[leeg]</v>
      </c>
      <c r="R94" s="308"/>
      <c r="S94" s="325"/>
      <c r="T94" s="319" t="str">
        <f>'Invoer gegevens'!$N23</f>
        <v>LB</v>
      </c>
      <c r="U94" s="319" t="str">
        <f>IF(U92&lt;&gt;"[leeg]",'Invoer gegevens'!$N23,"[leeg]")</f>
        <v>LB</v>
      </c>
      <c r="V94" s="319" t="str">
        <f>IF(V92&lt;&gt;"[leeg]",'Invoer gegevens'!$N23,"[leeg]")</f>
        <v>LB</v>
      </c>
      <c r="W94" s="319" t="str">
        <f>IF(W92&lt;&gt;"[leeg]",'Invoer gegevens'!$N23,"[leeg]")</f>
        <v>[leeg]</v>
      </c>
      <c r="X94" s="319" t="str">
        <f>IF(X92&lt;&gt;"[leeg]",'Invoer gegevens'!$N23,"[leeg]")</f>
        <v>[leeg]</v>
      </c>
      <c r="Y94" s="319" t="str">
        <f>IF(Y92&lt;&gt;"[leeg]",'Invoer gegevens'!$N23,"[leeg]")</f>
        <v>[leeg]</v>
      </c>
      <c r="Z94" s="319" t="str">
        <f>IF(Z92&lt;&gt;"[leeg]",'Invoer gegevens'!$N23,"[leeg]")</f>
        <v>[leeg]</v>
      </c>
      <c r="AA94" s="319" t="str">
        <f>IF(AA92&lt;&gt;"[leeg]",'Invoer gegevens'!$N23,"[leeg]")</f>
        <v>[leeg]</v>
      </c>
      <c r="AB94" s="319" t="str">
        <f>IF(AB92&lt;&gt;"[leeg]",'Invoer gegevens'!$N23,"[leeg]")</f>
        <v>[leeg]</v>
      </c>
      <c r="AC94" s="319" t="str">
        <f>IF(AC92&lt;&gt;"[leeg]",'Invoer gegevens'!$N23,"[leeg]")</f>
        <v>[leeg]</v>
      </c>
      <c r="AD94" s="308"/>
      <c r="AE94" s="312"/>
      <c r="AF94" s="320">
        <f>IF(AND(H94&gt;0,H94&lt;17),100,0)</f>
        <v>0</v>
      </c>
      <c r="AG94" s="320"/>
      <c r="AH94" s="320"/>
      <c r="AI94" s="320"/>
      <c r="AJ94" s="320"/>
      <c r="AK94" s="320"/>
      <c r="AL94" s="320"/>
      <c r="AM94" s="320"/>
      <c r="AN94" s="320"/>
      <c r="AO94" s="320"/>
      <c r="AP94" s="320"/>
      <c r="AQ94" s="323"/>
      <c r="AR94" s="320">
        <f>IF(AND(T94&gt;0,T94&lt;17),100,0)</f>
        <v>0</v>
      </c>
      <c r="AS94" s="320">
        <f t="shared" ref="AS94:BB94" si="236">IF(AND(U94&gt;0,U94&lt;17),100,0)</f>
        <v>0</v>
      </c>
      <c r="AT94" s="320">
        <f t="shared" si="236"/>
        <v>0</v>
      </c>
      <c r="AU94" s="320">
        <f t="shared" si="236"/>
        <v>0</v>
      </c>
      <c r="AV94" s="320">
        <f t="shared" si="236"/>
        <v>0</v>
      </c>
      <c r="AW94" s="320">
        <f t="shared" si="236"/>
        <v>0</v>
      </c>
      <c r="AX94" s="320">
        <f t="shared" si="236"/>
        <v>0</v>
      </c>
      <c r="AY94" s="320">
        <f t="shared" si="236"/>
        <v>0</v>
      </c>
      <c r="AZ94" s="320">
        <f t="shared" si="236"/>
        <v>0</v>
      </c>
      <c r="BA94" s="320">
        <f t="shared" si="236"/>
        <v>0</v>
      </c>
      <c r="BB94" s="320">
        <f t="shared" si="236"/>
        <v>0</v>
      </c>
      <c r="BC94" s="84"/>
      <c r="BD94" s="84"/>
      <c r="BE94" s="84"/>
      <c r="BF94" s="84"/>
      <c r="BG94" s="84"/>
      <c r="BH94" s="84"/>
      <c r="BI94" s="84"/>
      <c r="BJ94" s="84"/>
      <c r="BK94" s="84"/>
      <c r="BL94" s="84"/>
      <c r="BM94" s="84"/>
      <c r="BN94" s="84"/>
      <c r="BO94" s="84"/>
      <c r="BP94" s="84"/>
      <c r="BQ94" s="84"/>
      <c r="BR94" s="84"/>
      <c r="BS94" s="84"/>
      <c r="BT94" s="84"/>
      <c r="BU94" s="84"/>
      <c r="BV94" s="84"/>
      <c r="BW94" s="84"/>
      <c r="BX94" s="84"/>
      <c r="BY94" s="84"/>
      <c r="BZ94" s="84"/>
      <c r="CA94" s="84"/>
      <c r="CB94" s="84"/>
      <c r="CC94" s="84"/>
      <c r="CD94" s="84"/>
    </row>
    <row r="95" spans="2:82" ht="13.5" customHeight="1" thickTop="1" thickBot="1" x14ac:dyDescent="0.25">
      <c r="B95" s="11"/>
      <c r="C95" s="26" t="s">
        <v>4</v>
      </c>
      <c r="D95" s="26"/>
      <c r="E95" s="35"/>
      <c r="F95" s="26"/>
      <c r="G95" s="46"/>
      <c r="H95" s="321">
        <f>'Invoer gegevens'!M24</f>
        <v>9</v>
      </c>
      <c r="I95" s="322">
        <f t="shared" ref="I95:Q95" si="237">IF(I$92&lt;&gt;"[leeg]",MIN(H95+1,VLOOKUP(I94,Saltab2023,22,FALSE)),"[leeg]")</f>
        <v>10</v>
      </c>
      <c r="J95" s="322">
        <f t="shared" si="237"/>
        <v>11</v>
      </c>
      <c r="K95" s="322" t="str">
        <f t="shared" si="237"/>
        <v>[leeg]</v>
      </c>
      <c r="L95" s="322" t="str">
        <f t="shared" si="237"/>
        <v>[leeg]</v>
      </c>
      <c r="M95" s="322" t="str">
        <f t="shared" si="237"/>
        <v>[leeg]</v>
      </c>
      <c r="N95" s="322" t="str">
        <f t="shared" si="237"/>
        <v>[leeg]</v>
      </c>
      <c r="O95" s="322" t="str">
        <f t="shared" si="237"/>
        <v>[leeg]</v>
      </c>
      <c r="P95" s="322" t="str">
        <f t="shared" si="237"/>
        <v>[leeg]</v>
      </c>
      <c r="Q95" s="322" t="str">
        <f t="shared" si="237"/>
        <v>[leeg]</v>
      </c>
      <c r="R95" s="308"/>
      <c r="S95" s="325"/>
      <c r="T95" s="321">
        <f>'Invoer gegevens'!$N24</f>
        <v>9</v>
      </c>
      <c r="U95" s="322">
        <f t="shared" ref="U95:AC95" si="238">IF(U$92&lt;&gt;"[leeg]",MIN(T95+1,VLOOKUP(U94,Saltab2023,22,FALSE)),"[leeg]")</f>
        <v>10</v>
      </c>
      <c r="V95" s="322">
        <f t="shared" si="238"/>
        <v>11</v>
      </c>
      <c r="W95" s="322" t="str">
        <f t="shared" si="238"/>
        <v>[leeg]</v>
      </c>
      <c r="X95" s="322" t="str">
        <f t="shared" si="238"/>
        <v>[leeg]</v>
      </c>
      <c r="Y95" s="322" t="str">
        <f t="shared" si="238"/>
        <v>[leeg]</v>
      </c>
      <c r="Z95" s="322" t="str">
        <f t="shared" si="238"/>
        <v>[leeg]</v>
      </c>
      <c r="AA95" s="322" t="str">
        <f t="shared" si="238"/>
        <v>[leeg]</v>
      </c>
      <c r="AB95" s="322" t="str">
        <f t="shared" si="238"/>
        <v>[leeg]</v>
      </c>
      <c r="AC95" s="322" t="str">
        <f t="shared" si="238"/>
        <v>[leeg]</v>
      </c>
      <c r="AD95" s="308"/>
      <c r="AE95" s="312"/>
      <c r="AF95" s="323"/>
      <c r="AG95" s="323"/>
      <c r="AH95" s="323"/>
      <c r="AI95" s="323"/>
      <c r="AJ95" s="323"/>
      <c r="AK95" s="323"/>
      <c r="AL95" s="323"/>
      <c r="AM95" s="323"/>
      <c r="AN95" s="323"/>
      <c r="AO95" s="323"/>
      <c r="AP95" s="323"/>
      <c r="AQ95" s="323"/>
      <c r="AR95" s="323"/>
      <c r="AS95" s="323"/>
      <c r="AT95" s="323"/>
      <c r="AU95" s="323"/>
      <c r="AV95" s="323"/>
      <c r="AW95" s="323"/>
      <c r="AX95" s="323"/>
      <c r="AY95" s="323"/>
      <c r="AZ95" s="323"/>
      <c r="BA95" s="323"/>
      <c r="BB95" s="323"/>
      <c r="BC95" s="84"/>
      <c r="BD95" s="84"/>
      <c r="BE95" s="84"/>
      <c r="BF95" s="84"/>
      <c r="BG95" s="84"/>
      <c r="BH95" s="84"/>
      <c r="BI95" s="84"/>
      <c r="BJ95" s="84"/>
      <c r="BK95" s="84"/>
      <c r="BL95" s="84"/>
      <c r="BM95" s="84"/>
      <c r="BN95" s="84"/>
      <c r="BO95" s="84"/>
      <c r="BP95" s="84"/>
      <c r="BQ95" s="84"/>
      <c r="BR95" s="84"/>
      <c r="BS95" s="84"/>
      <c r="BT95" s="84"/>
      <c r="BU95" s="84"/>
      <c r="BV95" s="84"/>
      <c r="BW95" s="84"/>
      <c r="BX95" s="84"/>
      <c r="BY95" s="84"/>
      <c r="BZ95" s="84"/>
      <c r="CA95" s="84"/>
      <c r="CB95" s="84"/>
      <c r="CC95" s="84"/>
      <c r="CD95" s="84"/>
    </row>
    <row r="96" spans="2:82" ht="13.5" customHeight="1" thickTop="1" thickBot="1" x14ac:dyDescent="0.25">
      <c r="B96" s="11"/>
      <c r="C96" s="26" t="s">
        <v>6</v>
      </c>
      <c r="D96" s="26"/>
      <c r="E96" s="35"/>
      <c r="F96" s="26"/>
      <c r="G96" s="46"/>
      <c r="H96" s="324">
        <f>VLOOKUP(H94,Saltab2023,H95+5,FALSE)</f>
        <v>3929</v>
      </c>
      <c r="I96" s="324">
        <f t="shared" ref="I96:Q96" si="239">IF(I$92&lt;&gt;"[leeg]",VLOOKUP(I94,Saltab2023,I95+5,FALSE),0)</f>
        <v>4122</v>
      </c>
      <c r="J96" s="324">
        <f t="shared" si="239"/>
        <v>4336</v>
      </c>
      <c r="K96" s="324">
        <f t="shared" si="239"/>
        <v>0</v>
      </c>
      <c r="L96" s="324">
        <f t="shared" si="239"/>
        <v>0</v>
      </c>
      <c r="M96" s="324">
        <f t="shared" si="239"/>
        <v>0</v>
      </c>
      <c r="N96" s="324">
        <f t="shared" si="239"/>
        <v>0</v>
      </c>
      <c r="O96" s="324">
        <f t="shared" si="239"/>
        <v>0</v>
      </c>
      <c r="P96" s="324">
        <f t="shared" si="239"/>
        <v>0</v>
      </c>
      <c r="Q96" s="324">
        <f t="shared" si="239"/>
        <v>0</v>
      </c>
      <c r="R96" s="308"/>
      <c r="S96" s="325"/>
      <c r="T96" s="324">
        <f>VLOOKUP(T94,Saltab2023,T95+5,FALSE)</f>
        <v>3929</v>
      </c>
      <c r="U96" s="324">
        <f t="shared" ref="U96:AC96" si="240">IF(U$92&lt;&gt;"[leeg]",VLOOKUP(U94,Saltab2023,U95+5,FALSE),0)</f>
        <v>4122</v>
      </c>
      <c r="V96" s="324">
        <f t="shared" si="240"/>
        <v>4336</v>
      </c>
      <c r="W96" s="324">
        <f t="shared" si="240"/>
        <v>0</v>
      </c>
      <c r="X96" s="324">
        <f t="shared" si="240"/>
        <v>0</v>
      </c>
      <c r="Y96" s="324">
        <f t="shared" si="240"/>
        <v>0</v>
      </c>
      <c r="Z96" s="324">
        <f t="shared" si="240"/>
        <v>0</v>
      </c>
      <c r="AA96" s="324">
        <f t="shared" si="240"/>
        <v>0</v>
      </c>
      <c r="AB96" s="324">
        <f t="shared" si="240"/>
        <v>0</v>
      </c>
      <c r="AC96" s="324">
        <f t="shared" si="240"/>
        <v>0</v>
      </c>
      <c r="AD96" s="308"/>
      <c r="AE96" s="312"/>
      <c r="AF96" s="325"/>
      <c r="AG96" s="325"/>
      <c r="AH96" s="325"/>
      <c r="AI96" s="325"/>
      <c r="AJ96" s="325"/>
      <c r="AK96" s="325"/>
      <c r="AL96" s="325"/>
      <c r="AM96" s="325"/>
      <c r="AN96" s="325"/>
      <c r="AO96" s="325"/>
      <c r="AP96" s="325"/>
      <c r="AQ96" s="323"/>
      <c r="AR96" s="325"/>
      <c r="AS96" s="325"/>
      <c r="AT96" s="325"/>
      <c r="AU96" s="325"/>
      <c r="AV96" s="325"/>
      <c r="AW96" s="325"/>
      <c r="AX96" s="325"/>
      <c r="AY96" s="325"/>
      <c r="AZ96" s="325"/>
      <c r="BA96" s="325"/>
      <c r="BB96" s="325"/>
      <c r="BC96" s="84"/>
      <c r="BD96" s="84"/>
      <c r="BE96" s="84"/>
      <c r="BF96" s="84"/>
      <c r="BG96" s="84"/>
      <c r="BH96" s="84"/>
      <c r="BI96" s="84"/>
      <c r="BJ96" s="84"/>
      <c r="BK96" s="84"/>
      <c r="BL96" s="84"/>
      <c r="BM96" s="84"/>
      <c r="BN96" s="84"/>
      <c r="BO96" s="84"/>
      <c r="BP96" s="84"/>
      <c r="BQ96" s="84"/>
      <c r="BR96" s="84"/>
      <c r="BS96" s="84"/>
      <c r="BT96" s="84"/>
      <c r="BU96" s="84"/>
      <c r="BV96" s="84"/>
      <c r="BW96" s="84"/>
      <c r="BX96" s="84"/>
      <c r="BY96" s="84"/>
      <c r="BZ96" s="84"/>
      <c r="CA96" s="84"/>
      <c r="CB96" s="84"/>
      <c r="CC96" s="84"/>
      <c r="CD96" s="84"/>
    </row>
    <row r="97" spans="1:82" ht="13.5" customHeight="1" thickTop="1" thickBot="1" x14ac:dyDescent="0.25">
      <c r="B97" s="11"/>
      <c r="C97" s="26" t="s">
        <v>103</v>
      </c>
      <c r="D97" s="26"/>
      <c r="E97" s="35"/>
      <c r="F97" s="26"/>
      <c r="G97" s="46"/>
      <c r="H97" s="326">
        <f>'Invoer gegevens'!$M26</f>
        <v>0.5</v>
      </c>
      <c r="I97" s="326">
        <f>IF(I$92&lt;&gt;"[leeg]",'Invoer gegevens'!$M26,0)</f>
        <v>0.5</v>
      </c>
      <c r="J97" s="326">
        <f>IF(J$92&lt;&gt;"[leeg]",'Invoer gegevens'!$M26,0)</f>
        <v>0.5</v>
      </c>
      <c r="K97" s="326">
        <f>IF(K$92&lt;&gt;"[leeg]",'Invoer gegevens'!$M26,0)</f>
        <v>0</v>
      </c>
      <c r="L97" s="326">
        <f>IF(L$92&lt;&gt;"[leeg]",'Invoer gegevens'!$M26,0)</f>
        <v>0</v>
      </c>
      <c r="M97" s="326">
        <f>IF(M$92&lt;&gt;"[leeg]",'Invoer gegevens'!$M26,0)</f>
        <v>0</v>
      </c>
      <c r="N97" s="326">
        <f>IF(N$92&lt;&gt;"[leeg]",'Invoer gegevens'!$M26,0)</f>
        <v>0</v>
      </c>
      <c r="O97" s="326">
        <f>IF(O$92&lt;&gt;"[leeg]",'Invoer gegevens'!$M26,0)</f>
        <v>0</v>
      </c>
      <c r="P97" s="326">
        <f>IF(P$92&lt;&gt;"[leeg]",'Invoer gegevens'!$M26,0)</f>
        <v>0</v>
      </c>
      <c r="Q97" s="326">
        <f>IF(Q$92&lt;&gt;"[leeg]",'Invoer gegevens'!$M26,0)</f>
        <v>0</v>
      </c>
      <c r="R97" s="308"/>
      <c r="S97" s="325"/>
      <c r="T97" s="326">
        <f>'Invoer gegevens'!$N26</f>
        <v>0.7</v>
      </c>
      <c r="U97" s="326">
        <f>IF(U$92&lt;&gt;"[leeg]",'Invoer gegevens'!$N26,0)</f>
        <v>0.7</v>
      </c>
      <c r="V97" s="326">
        <f>IF(V$92&lt;&gt;"[leeg]",'Invoer gegevens'!$N26,0)</f>
        <v>0.7</v>
      </c>
      <c r="W97" s="326">
        <f>IF(W$92&lt;&gt;"[leeg]",'Invoer gegevens'!$N26,0)</f>
        <v>0</v>
      </c>
      <c r="X97" s="326">
        <f>IF(X$92&lt;&gt;"[leeg]",'Invoer gegevens'!$N26,0)</f>
        <v>0</v>
      </c>
      <c r="Y97" s="326">
        <f>IF(Y$92&lt;&gt;"[leeg]",'Invoer gegevens'!$N26,0)</f>
        <v>0</v>
      </c>
      <c r="Z97" s="326">
        <f>IF(Z$92&lt;&gt;"[leeg]",'Invoer gegevens'!$N26,0)</f>
        <v>0</v>
      </c>
      <c r="AA97" s="326">
        <f>IF(AA$92&lt;&gt;"[leeg]",'Invoer gegevens'!$N26,0)</f>
        <v>0</v>
      </c>
      <c r="AB97" s="326">
        <f>IF(AB$92&lt;&gt;"[leeg]",'Invoer gegevens'!$N26,0)</f>
        <v>0</v>
      </c>
      <c r="AC97" s="326">
        <f>IF(AC$92&lt;&gt;"[leeg]",'Invoer gegevens'!$N26,0)</f>
        <v>0</v>
      </c>
      <c r="AD97" s="308"/>
      <c r="AE97" s="312"/>
      <c r="AF97" s="308"/>
      <c r="AG97" s="308"/>
      <c r="AH97" s="308"/>
      <c r="AI97" s="308"/>
      <c r="AJ97" s="308"/>
      <c r="AK97" s="308"/>
      <c r="AL97" s="308"/>
      <c r="AM97" s="308"/>
      <c r="AN97" s="308"/>
      <c r="AO97" s="308"/>
      <c r="AP97" s="308"/>
      <c r="AQ97" s="323"/>
      <c r="AR97" s="308"/>
      <c r="AS97" s="308"/>
      <c r="AT97" s="308"/>
      <c r="AU97" s="308"/>
      <c r="AV97" s="308"/>
      <c r="AW97" s="308"/>
      <c r="AX97" s="308"/>
      <c r="AY97" s="308"/>
      <c r="AZ97" s="308"/>
      <c r="BA97" s="308"/>
      <c r="BB97" s="308"/>
      <c r="BC97" s="84"/>
      <c r="BD97" s="84"/>
      <c r="BE97" s="84"/>
      <c r="BF97" s="84"/>
      <c r="BG97" s="84"/>
      <c r="BH97" s="84"/>
      <c r="BI97" s="84"/>
      <c r="BJ97" s="84"/>
      <c r="BK97" s="84"/>
      <c r="BL97" s="84"/>
      <c r="BM97" s="84"/>
      <c r="BN97" s="84"/>
      <c r="BO97" s="84"/>
      <c r="BP97" s="84"/>
      <c r="BQ97" s="84"/>
      <c r="BR97" s="84"/>
      <c r="BS97" s="84"/>
      <c r="BT97" s="84"/>
      <c r="BU97" s="84"/>
      <c r="BV97" s="84"/>
      <c r="BW97" s="84"/>
      <c r="BX97" s="84"/>
      <c r="BY97" s="84"/>
      <c r="BZ97" s="84"/>
      <c r="CA97" s="84"/>
      <c r="CB97" s="84"/>
      <c r="CC97" s="84"/>
      <c r="CD97" s="84"/>
    </row>
    <row r="98" spans="1:82" ht="13.5" customHeight="1" thickTop="1" thickBot="1" x14ac:dyDescent="0.25">
      <c r="B98" s="11"/>
      <c r="C98" s="26"/>
      <c r="D98" s="26"/>
      <c r="E98" s="35"/>
      <c r="F98" s="26"/>
      <c r="G98" s="46"/>
      <c r="H98" s="355"/>
      <c r="I98" s="355"/>
      <c r="J98" s="355"/>
      <c r="K98" s="355"/>
      <c r="L98" s="355"/>
      <c r="M98" s="355"/>
      <c r="N98" s="355"/>
      <c r="O98" s="355"/>
      <c r="P98" s="355"/>
      <c r="Q98" s="355"/>
      <c r="R98" s="355"/>
      <c r="S98" s="325"/>
      <c r="T98" s="355"/>
      <c r="U98" s="355"/>
      <c r="V98" s="355"/>
      <c r="W98" s="355"/>
      <c r="X98" s="355"/>
      <c r="Y98" s="355"/>
      <c r="Z98" s="355"/>
      <c r="AA98" s="355"/>
      <c r="AB98" s="355"/>
      <c r="AC98" s="355"/>
      <c r="AD98" s="355"/>
      <c r="AE98" s="312"/>
      <c r="AF98" s="308"/>
      <c r="AG98" s="308"/>
      <c r="AH98" s="308"/>
      <c r="AI98" s="308"/>
      <c r="AJ98" s="308"/>
      <c r="AK98" s="308"/>
      <c r="AL98" s="308"/>
      <c r="AM98" s="308"/>
      <c r="AN98" s="308"/>
      <c r="AO98" s="308"/>
      <c r="AP98" s="308"/>
      <c r="AQ98" s="323"/>
      <c r="AR98" s="308"/>
      <c r="AS98" s="308"/>
      <c r="AT98" s="308"/>
      <c r="AU98" s="308"/>
      <c r="AV98" s="308"/>
      <c r="AW98" s="308"/>
      <c r="AX98" s="308"/>
      <c r="AY98" s="308"/>
      <c r="AZ98" s="308"/>
      <c r="BA98" s="308"/>
      <c r="BB98" s="308"/>
      <c r="BC98" s="84"/>
      <c r="BD98" s="84"/>
      <c r="BE98" s="84"/>
      <c r="BF98" s="84"/>
      <c r="BG98" s="84"/>
      <c r="BH98" s="84"/>
      <c r="BI98" s="84"/>
      <c r="BJ98" s="84"/>
      <c r="BK98" s="84"/>
      <c r="BL98" s="84"/>
      <c r="BM98" s="84"/>
      <c r="BN98" s="84"/>
      <c r="BO98" s="84"/>
      <c r="BP98" s="84"/>
      <c r="BQ98" s="84"/>
      <c r="BR98" s="84"/>
      <c r="BS98" s="84"/>
      <c r="BT98" s="84"/>
      <c r="BU98" s="84"/>
      <c r="BV98" s="84"/>
      <c r="BW98" s="84"/>
      <c r="BX98" s="84"/>
      <c r="BY98" s="84"/>
      <c r="BZ98" s="84"/>
      <c r="CA98" s="84"/>
      <c r="CB98" s="84"/>
      <c r="CC98" s="84"/>
      <c r="CD98" s="84"/>
    </row>
    <row r="99" spans="1:82" s="16" customFormat="1" ht="12.95" customHeight="1" collapsed="1" thickTop="1" thickBot="1" x14ac:dyDescent="0.25">
      <c r="B99" s="11"/>
      <c r="C99" s="28" t="s">
        <v>142</v>
      </c>
      <c r="D99" s="28"/>
      <c r="E99" s="88"/>
      <c r="F99" s="45"/>
      <c r="G99" s="46"/>
      <c r="H99" s="471">
        <f>H96*H97</f>
        <v>1964.5</v>
      </c>
      <c r="I99" s="330">
        <f>IF(I95&lt;&gt;"[leeg]",I96*I97,0)</f>
        <v>2061</v>
      </c>
      <c r="J99" s="330">
        <f t="shared" ref="J99:Q99" si="241">IF(J95&lt;&gt;"[leeg]",J96*J97,0)</f>
        <v>2168</v>
      </c>
      <c r="K99" s="330">
        <f t="shared" si="241"/>
        <v>0</v>
      </c>
      <c r="L99" s="330">
        <f t="shared" si="241"/>
        <v>0</v>
      </c>
      <c r="M99" s="330">
        <f t="shared" si="241"/>
        <v>0</v>
      </c>
      <c r="N99" s="330">
        <f t="shared" si="241"/>
        <v>0</v>
      </c>
      <c r="O99" s="330">
        <f t="shared" si="241"/>
        <v>0</v>
      </c>
      <c r="P99" s="330">
        <f t="shared" si="241"/>
        <v>0</v>
      </c>
      <c r="Q99" s="330">
        <f t="shared" si="241"/>
        <v>0</v>
      </c>
      <c r="R99" s="330">
        <f>H99*H$26+I99*I$26+J99*J$26+K99*K$26+L99*L$26+M99*M$26+N99*N$26+O99*O$26+P99*P$26+Q99*Q$26</f>
        <v>2061</v>
      </c>
      <c r="S99" s="308"/>
      <c r="T99" s="330">
        <f>T96*T97</f>
        <v>2750.2999999999997</v>
      </c>
      <c r="U99" s="330">
        <f>IF(U95&lt;&gt;"[leeg]",U96*U97,0)</f>
        <v>2885.3999999999996</v>
      </c>
      <c r="V99" s="330">
        <f t="shared" ref="V99:AC99" si="242">IF(V95&lt;&gt;"[leeg]",V96*V97,0)</f>
        <v>3035.2</v>
      </c>
      <c r="W99" s="330">
        <f t="shared" si="242"/>
        <v>0</v>
      </c>
      <c r="X99" s="330">
        <f t="shared" si="242"/>
        <v>0</v>
      </c>
      <c r="Y99" s="330">
        <f t="shared" si="242"/>
        <v>0</v>
      </c>
      <c r="Z99" s="330">
        <f t="shared" si="242"/>
        <v>0</v>
      </c>
      <c r="AA99" s="330">
        <f t="shared" si="242"/>
        <v>0</v>
      </c>
      <c r="AB99" s="330">
        <f t="shared" si="242"/>
        <v>0</v>
      </c>
      <c r="AC99" s="330">
        <f t="shared" si="242"/>
        <v>0</v>
      </c>
      <c r="AD99" s="330">
        <f t="shared" ref="AD99:AD108" si="243">T99*T$26+U99*U$26+V99*V$26+W99*W$26+X99*X$26+Y99*Y$26+Z99*Z$26+AA99*AA$26+AB99*AB$26+AC99*AC$26</f>
        <v>2885.3999999999996</v>
      </c>
      <c r="AE99" s="308"/>
      <c r="AF99" s="330">
        <f>H99*12</f>
        <v>23574</v>
      </c>
      <c r="AG99" s="330">
        <f t="shared" ref="AG99" si="244">I99*12</f>
        <v>24732</v>
      </c>
      <c r="AH99" s="330">
        <f t="shared" ref="AH99" si="245">J99*12</f>
        <v>26016</v>
      </c>
      <c r="AI99" s="330">
        <f t="shared" ref="AI99" si="246">K99*12</f>
        <v>0</v>
      </c>
      <c r="AJ99" s="330">
        <f t="shared" ref="AJ99" si="247">L99*12</f>
        <v>0</v>
      </c>
      <c r="AK99" s="330">
        <f t="shared" ref="AK99" si="248">M99*12</f>
        <v>0</v>
      </c>
      <c r="AL99" s="330">
        <f t="shared" ref="AL99" si="249">N99*12</f>
        <v>0</v>
      </c>
      <c r="AM99" s="330">
        <f t="shared" ref="AM99" si="250">O99*12</f>
        <v>0</v>
      </c>
      <c r="AN99" s="330">
        <f t="shared" ref="AN99" si="251">P99*12</f>
        <v>0</v>
      </c>
      <c r="AO99" s="330">
        <f t="shared" ref="AO99" si="252">Q99*12</f>
        <v>0</v>
      </c>
      <c r="AP99" s="330">
        <f t="shared" ref="AP99:AP108" si="253">AF99*AF$26+AG99*AG$26+AH99*AH$26+AI99*AI$26+AJ99*AJ$26+AK99*AK$26+AL99*AL$26+AM99*AM$26+AN99*AN$26+AO99*AO$26</f>
        <v>24732</v>
      </c>
      <c r="AQ99" s="308"/>
      <c r="AR99" s="330">
        <f>T99*12</f>
        <v>33003.599999999999</v>
      </c>
      <c r="AS99" s="330">
        <f t="shared" ref="AS99:BA105" si="254">U99*12</f>
        <v>34624.799999999996</v>
      </c>
      <c r="AT99" s="330">
        <f t="shared" si="254"/>
        <v>36422.399999999994</v>
      </c>
      <c r="AU99" s="330">
        <f t="shared" si="254"/>
        <v>0</v>
      </c>
      <c r="AV99" s="330">
        <f t="shared" si="254"/>
        <v>0</v>
      </c>
      <c r="AW99" s="330">
        <f t="shared" si="254"/>
        <v>0</v>
      </c>
      <c r="AX99" s="330">
        <f t="shared" si="254"/>
        <v>0</v>
      </c>
      <c r="AY99" s="330">
        <f t="shared" si="254"/>
        <v>0</v>
      </c>
      <c r="AZ99" s="330">
        <f t="shared" si="254"/>
        <v>0</v>
      </c>
      <c r="BA99" s="330">
        <f t="shared" si="254"/>
        <v>0</v>
      </c>
      <c r="BB99" s="330">
        <f t="shared" ref="BB99:BB108" si="255">AR99*AR$26+AS99*AS$26+AT99*AT$26+AU99*AU$26+AV99*AV$26+AW99*AW$26+AX99*AX$26+AY99*AY$26+AZ99*AZ$26+BA99*BA$26</f>
        <v>34624.799999999996</v>
      </c>
      <c r="BC99" s="11"/>
      <c r="BF99" s="33"/>
      <c r="BG99" s="33"/>
      <c r="BH99" s="33"/>
    </row>
    <row r="100" spans="1:82" s="16" customFormat="1" ht="12.95" customHeight="1" thickTop="1" thickBot="1" x14ac:dyDescent="0.25">
      <c r="B100" s="11"/>
      <c r="C100" s="26" t="s">
        <v>8</v>
      </c>
      <c r="D100" s="26"/>
      <c r="E100" s="17"/>
      <c r="F100" s="27"/>
      <c r="G100" s="54"/>
      <c r="H100" s="472">
        <f>ROUND(IF((H$99+H102)*'Tabellen PO-Raad'!$D$34&lt;H97*'Tabellen PO-Raad'!$D$36,H97*'Tabellen PO-Raad'!$D$36,(H$99+H102)*'Tabellen PO-Raad'!$D$34),2)</f>
        <v>160.01</v>
      </c>
      <c r="I100" s="324">
        <f>IF(I$20&lt;&gt;"[leeg]",ROUND(IF((I$99+I102)*'Tabellen PO-Raad'!$D$34&lt;I97*'Tabellen PO-Raad'!$D$36,I97*'Tabellen PO-Raad'!$D$36,(I$99+I102)*'Tabellen PO-Raad'!$D$34),2),0)</f>
        <v>167.73</v>
      </c>
      <c r="J100" s="324">
        <f>IF(J$20&lt;&gt;"[leeg]",ROUND(IF((J$99+J102)*'Tabellen PO-Raad'!$D$34&lt;J97*'Tabellen PO-Raad'!$D$36,J97*'Tabellen PO-Raad'!$D$36,(J$99+J102)*'Tabellen PO-Raad'!$D$34),2),0)</f>
        <v>176.29</v>
      </c>
      <c r="K100" s="324">
        <f>IF(K$20&lt;&gt;"[leeg]",ROUND(IF((K$99+K102)*'Tabellen PO-Raad'!$D$34&lt;K97*'Tabellen PO-Raad'!$D$36,K97*'Tabellen PO-Raad'!$D$36,(K$99+K102)*'Tabellen PO-Raad'!$D$34),2),0)</f>
        <v>0</v>
      </c>
      <c r="L100" s="324">
        <f>IF(L$20&lt;&gt;"[leeg]",ROUND(IF((L$99+L102)*'Tabellen PO-Raad'!$D$34&lt;L97*'Tabellen PO-Raad'!$D$36,L97*'Tabellen PO-Raad'!$D$36,(L$99+L102)*'Tabellen PO-Raad'!$D$34),2),0)</f>
        <v>0</v>
      </c>
      <c r="M100" s="324">
        <f>IF(M$20&lt;&gt;"[leeg]",ROUND(IF((M$99+M102)*'Tabellen PO-Raad'!$D$34&lt;M97*'Tabellen PO-Raad'!$D$36,M97*'Tabellen PO-Raad'!$D$36,(M$99+M102)*'Tabellen PO-Raad'!$D$34),2),0)</f>
        <v>0</v>
      </c>
      <c r="N100" s="324">
        <f>IF(N$20&lt;&gt;"[leeg]",ROUND(IF((N$99+N102)*'Tabellen PO-Raad'!$D$34&lt;N97*'Tabellen PO-Raad'!$D$36,N97*'Tabellen PO-Raad'!$D$36,(N$99+N102)*'Tabellen PO-Raad'!$D$34),2),0)</f>
        <v>0</v>
      </c>
      <c r="O100" s="324">
        <f>IF(O$20&lt;&gt;"[leeg]",ROUND(IF((O$99+O102)*'Tabellen PO-Raad'!$D$34&lt;O97*'Tabellen PO-Raad'!$D$36,O97*'Tabellen PO-Raad'!$D$36,(O$99+O102)*'Tabellen PO-Raad'!$D$34),2),0)</f>
        <v>0</v>
      </c>
      <c r="P100" s="324">
        <f>IF(P$20&lt;&gt;"[leeg]",ROUND(IF((P$99+P102)*'Tabellen PO-Raad'!$D$34&lt;P97*'Tabellen PO-Raad'!$D$36,P97*'Tabellen PO-Raad'!$D$36,(P$99+P102)*'Tabellen PO-Raad'!$D$34),2),0)</f>
        <v>0</v>
      </c>
      <c r="Q100" s="324">
        <f>IF(Q$20&lt;&gt;"[leeg]",ROUND(IF((Q$99+Q102)*'Tabellen PO-Raad'!$D$34&lt;Q97*'Tabellen PO-Raad'!$D$36,Q97*'Tabellen PO-Raad'!$D$36,(Q$99+Q102)*'Tabellen PO-Raad'!$D$34),2),0)</f>
        <v>0</v>
      </c>
      <c r="R100" s="324">
        <f t="shared" ref="R100:R108" si="256">H100*H$26+I100*I$26+J100*J$26+K100*K$26+L100*L$26+M100*M$26+N100*N$26+O100*O$26+P100*P$26+Q100*Q$26</f>
        <v>167.73</v>
      </c>
      <c r="S100" s="308"/>
      <c r="T100" s="324">
        <f>ROUND(IF((T$99+T102)*'Tabellen PO-Raad'!$D$34&lt;T97*'Tabellen PO-Raad'!$D$36,T97*'Tabellen PO-Raad'!$D$36,(T$99+T102)*'Tabellen PO-Raad'!$D$34),2)</f>
        <v>222.88</v>
      </c>
      <c r="U100" s="324">
        <f>IF(U$20&lt;&gt;"[leeg]",ROUND(IF((U$99+U102)*'Tabellen PO-Raad'!$D$34&lt;U97*'Tabellen PO-Raad'!$D$36,U97*'Tabellen PO-Raad'!$D$36,(U$99+U102)*'Tabellen PO-Raad'!$D$34),2),0)</f>
        <v>233.69</v>
      </c>
      <c r="V100" s="324">
        <f>IF(V$20&lt;&gt;"[leeg]",ROUND(IF((V$99+V102)*'Tabellen PO-Raad'!$D$34&lt;V97*'Tabellen PO-Raad'!$D$36,V97*'Tabellen PO-Raad'!$D$36,(V$99+V102)*'Tabellen PO-Raad'!$D$34),2),0)</f>
        <v>245.67</v>
      </c>
      <c r="W100" s="324">
        <f>IF(W$20&lt;&gt;"[leeg]",ROUND(IF((W$99+W102)*'Tabellen PO-Raad'!$D$34&lt;W97*'Tabellen PO-Raad'!$D$36,W97*'Tabellen PO-Raad'!$D$36,(W$99+W102)*'Tabellen PO-Raad'!$D$34),2),0)</f>
        <v>0</v>
      </c>
      <c r="X100" s="324">
        <f>IF(X$20&lt;&gt;"[leeg]",ROUND(IF((X$99+X102)*'Tabellen PO-Raad'!$D$34&lt;X97*'Tabellen PO-Raad'!$D$36,X97*'Tabellen PO-Raad'!$D$36,(X$99+X102)*'Tabellen PO-Raad'!$D$34),2),0)</f>
        <v>0</v>
      </c>
      <c r="Y100" s="324">
        <f>IF(Y$20&lt;&gt;"[leeg]",ROUND(IF((Y$99+Y102)*'Tabellen PO-Raad'!$D$34&lt;Y97*'Tabellen PO-Raad'!$D$36,Y97*'Tabellen PO-Raad'!$D$36,(Y$99+Y102)*'Tabellen PO-Raad'!$D$34),2),0)</f>
        <v>0</v>
      </c>
      <c r="Z100" s="324">
        <f>IF(Z$20&lt;&gt;"[leeg]",ROUND(IF((Z$99+Z102)*'Tabellen PO-Raad'!$D$34&lt;Z97*'Tabellen PO-Raad'!$D$36,Z97*'Tabellen PO-Raad'!$D$36,(Z$99+Z102)*'Tabellen PO-Raad'!$D$34),2),0)</f>
        <v>0</v>
      </c>
      <c r="AA100" s="324">
        <f>IF(AA$20&lt;&gt;"[leeg]",ROUND(IF((AA$99+AA102)*'Tabellen PO-Raad'!$D$34&lt;AA97*'Tabellen PO-Raad'!$D$36,AA97*'Tabellen PO-Raad'!$D$36,(AA$99+AA102)*'Tabellen PO-Raad'!$D$34),2),0)</f>
        <v>0</v>
      </c>
      <c r="AB100" s="324">
        <f>IF(AB$20&lt;&gt;"[leeg]",ROUND(IF((AB$99+AB102)*'Tabellen PO-Raad'!$D$34&lt;AB97*'Tabellen PO-Raad'!$D$36,AB97*'Tabellen PO-Raad'!$D$36,(AB$99+AB102)*'Tabellen PO-Raad'!$D$34),2),0)</f>
        <v>0</v>
      </c>
      <c r="AC100" s="324">
        <f>IF(AC$20&lt;&gt;"[leeg]",ROUND(IF((AC$99+AC102)*'Tabellen PO-Raad'!$D$34&lt;AC97*'Tabellen PO-Raad'!$D$36,AC97*'Tabellen PO-Raad'!$D$36,(AC$99+AC102)*'Tabellen PO-Raad'!$D$34),2),0)</f>
        <v>0</v>
      </c>
      <c r="AD100" s="324">
        <f t="shared" si="243"/>
        <v>233.69</v>
      </c>
      <c r="AE100" s="308"/>
      <c r="AF100" s="324">
        <f>+H100*12</f>
        <v>1920.12</v>
      </c>
      <c r="AG100" s="324">
        <f t="shared" ref="AG100:AG105" si="257">+I100*12</f>
        <v>2012.7599999999998</v>
      </c>
      <c r="AH100" s="324">
        <f t="shared" ref="AH100:AH105" si="258">+J100*12</f>
        <v>2115.48</v>
      </c>
      <c r="AI100" s="324">
        <f t="shared" ref="AI100:AI105" si="259">+K100*12</f>
        <v>0</v>
      </c>
      <c r="AJ100" s="324">
        <f t="shared" ref="AJ100:AJ105" si="260">+L100*12</f>
        <v>0</v>
      </c>
      <c r="AK100" s="324">
        <f t="shared" ref="AK100:AK105" si="261">+M100*12</f>
        <v>0</v>
      </c>
      <c r="AL100" s="324">
        <f t="shared" ref="AL100:AL105" si="262">+N100*12</f>
        <v>0</v>
      </c>
      <c r="AM100" s="324">
        <f t="shared" ref="AM100:AM105" si="263">+O100*12</f>
        <v>0</v>
      </c>
      <c r="AN100" s="324">
        <f t="shared" ref="AN100:AN105" si="264">+P100*12</f>
        <v>0</v>
      </c>
      <c r="AO100" s="324">
        <f t="shared" ref="AO100:AO105" si="265">+Q100*12</f>
        <v>0</v>
      </c>
      <c r="AP100" s="324">
        <f t="shared" si="253"/>
        <v>2012.7599999999998</v>
      </c>
      <c r="AQ100" s="308"/>
      <c r="AR100" s="470">
        <f t="shared" ref="AR100:AR105" si="266">T100*12</f>
        <v>2674.56</v>
      </c>
      <c r="AS100" s="470">
        <f t="shared" si="254"/>
        <v>2804.2799999999997</v>
      </c>
      <c r="AT100" s="470">
        <f t="shared" si="254"/>
        <v>2948.04</v>
      </c>
      <c r="AU100" s="470">
        <f t="shared" si="254"/>
        <v>0</v>
      </c>
      <c r="AV100" s="470">
        <f t="shared" si="254"/>
        <v>0</v>
      </c>
      <c r="AW100" s="470">
        <f t="shared" si="254"/>
        <v>0</v>
      </c>
      <c r="AX100" s="470">
        <f t="shared" si="254"/>
        <v>0</v>
      </c>
      <c r="AY100" s="470">
        <f t="shared" si="254"/>
        <v>0</v>
      </c>
      <c r="AZ100" s="470">
        <f t="shared" si="254"/>
        <v>0</v>
      </c>
      <c r="BA100" s="470">
        <f t="shared" si="254"/>
        <v>0</v>
      </c>
      <c r="BB100" s="324">
        <f t="shared" si="255"/>
        <v>2804.2799999999997</v>
      </c>
      <c r="BC100" s="11"/>
      <c r="BF100" s="33"/>
      <c r="BG100" s="33"/>
      <c r="BH100" s="33"/>
    </row>
    <row r="101" spans="1:82" s="16" customFormat="1" ht="12.95" customHeight="1" thickTop="1" thickBot="1" x14ac:dyDescent="0.25">
      <c r="B101" s="11"/>
      <c r="C101" s="26" t="s">
        <v>21</v>
      </c>
      <c r="D101" s="26"/>
      <c r="E101" s="17"/>
      <c r="F101" s="27"/>
      <c r="G101" s="55"/>
      <c r="H101" s="472">
        <f>ROUND((H$99+H102)*'Tabellen PO-Raad'!$D$37,2)</f>
        <v>166.61</v>
      </c>
      <c r="I101" s="324">
        <f>IF(I$20&lt;&gt;"[leeg]",ROUND((I$99+I102)*'Tabellen PO-Raad'!$D$37,2),0)</f>
        <v>174.65</v>
      </c>
      <c r="J101" s="324">
        <f>IF(J$20&lt;&gt;"[leeg]",ROUND((J$99+J102)*'Tabellen PO-Raad'!$D$37,2),0)</f>
        <v>183.57</v>
      </c>
      <c r="K101" s="324">
        <f>IF(K$20&lt;&gt;"[leeg]",ROUND((K$99+K102)*'Tabellen PO-Raad'!$D$37,2),0)</f>
        <v>0</v>
      </c>
      <c r="L101" s="324">
        <f>IF(L$20&lt;&gt;"[leeg]",ROUND((L$99+L102)*'Tabellen PO-Raad'!$D$37,2),0)</f>
        <v>0</v>
      </c>
      <c r="M101" s="324">
        <f>IF(M$20&lt;&gt;"[leeg]",ROUND((M$99+M102)*'Tabellen PO-Raad'!$D$37,2),0)</f>
        <v>0</v>
      </c>
      <c r="N101" s="324">
        <f>IF(N$20&lt;&gt;"[leeg]",ROUND((N$99+N102)*'Tabellen PO-Raad'!$D$37,2),0)</f>
        <v>0</v>
      </c>
      <c r="O101" s="324">
        <f>IF(O$20&lt;&gt;"[leeg]",ROUND((O$99+O102)*'Tabellen PO-Raad'!$D$37,2),0)</f>
        <v>0</v>
      </c>
      <c r="P101" s="324">
        <f>IF(P$20&lt;&gt;"[leeg]",ROUND((P$99+P102)*'Tabellen PO-Raad'!$D$37,2),0)</f>
        <v>0</v>
      </c>
      <c r="Q101" s="324">
        <f>IF(Q$20&lt;&gt;"[leeg]",ROUND((Q$99+Q102)*'Tabellen PO-Raad'!$D$37,2),0)</f>
        <v>0</v>
      </c>
      <c r="R101" s="324">
        <f t="shared" si="256"/>
        <v>174.65</v>
      </c>
      <c r="S101" s="308"/>
      <c r="T101" s="324">
        <f>ROUND((T$99+T102)*'Tabellen PO-Raad'!$D$37,2)</f>
        <v>232.07</v>
      </c>
      <c r="U101" s="324">
        <f>IF(U$20&lt;&gt;"[leeg]",ROUND((U$99+U102)*'Tabellen PO-Raad'!$D$37,2),0)</f>
        <v>243.33</v>
      </c>
      <c r="V101" s="324">
        <f>IF(V$20&lt;&gt;"[leeg]",ROUND((V$99+V102)*'Tabellen PO-Raad'!$D$37,2),0)</f>
        <v>255.8</v>
      </c>
      <c r="W101" s="324">
        <f>IF(W$20&lt;&gt;"[leeg]",ROUND((W$99+W102)*'Tabellen PO-Raad'!$D$37,2),0)</f>
        <v>0</v>
      </c>
      <c r="X101" s="324">
        <f>IF(X$20&lt;&gt;"[leeg]",ROUND((X$99+X102)*'Tabellen PO-Raad'!$D$37,2),0)</f>
        <v>0</v>
      </c>
      <c r="Y101" s="324">
        <f>IF(Y$20&lt;&gt;"[leeg]",ROUND((Y$99+Y102)*'Tabellen PO-Raad'!$D$37,2),0)</f>
        <v>0</v>
      </c>
      <c r="Z101" s="324">
        <f>IF(Z$20&lt;&gt;"[leeg]",ROUND((Z$99+Z102)*'Tabellen PO-Raad'!$D$37,2),0)</f>
        <v>0</v>
      </c>
      <c r="AA101" s="324">
        <f>IF(AA$20&lt;&gt;"[leeg]",ROUND((AA$99+AA102)*'Tabellen PO-Raad'!$D$37,2),0)</f>
        <v>0</v>
      </c>
      <c r="AB101" s="324">
        <f>IF(AB$20&lt;&gt;"[leeg]",ROUND((AB$99+AB102)*'Tabellen PO-Raad'!$D$37,2),0)</f>
        <v>0</v>
      </c>
      <c r="AC101" s="324">
        <f>IF(AC$20&lt;&gt;"[leeg]",ROUND((AC$99+AC102)*'Tabellen PO-Raad'!$D$37,2),0)</f>
        <v>0</v>
      </c>
      <c r="AD101" s="324">
        <f t="shared" si="243"/>
        <v>243.33</v>
      </c>
      <c r="AE101" s="308"/>
      <c r="AF101" s="324">
        <f>+H101*12</f>
        <v>1999.3200000000002</v>
      </c>
      <c r="AG101" s="324">
        <f t="shared" si="257"/>
        <v>2095.8000000000002</v>
      </c>
      <c r="AH101" s="324">
        <f t="shared" si="258"/>
        <v>2202.84</v>
      </c>
      <c r="AI101" s="324">
        <f t="shared" si="259"/>
        <v>0</v>
      </c>
      <c r="AJ101" s="324">
        <f t="shared" si="260"/>
        <v>0</v>
      </c>
      <c r="AK101" s="324">
        <f t="shared" si="261"/>
        <v>0</v>
      </c>
      <c r="AL101" s="324">
        <f t="shared" si="262"/>
        <v>0</v>
      </c>
      <c r="AM101" s="324">
        <f t="shared" si="263"/>
        <v>0</v>
      </c>
      <c r="AN101" s="324">
        <f t="shared" si="264"/>
        <v>0</v>
      </c>
      <c r="AO101" s="324">
        <f t="shared" si="265"/>
        <v>0</v>
      </c>
      <c r="AP101" s="324">
        <f t="shared" si="253"/>
        <v>2095.8000000000002</v>
      </c>
      <c r="AQ101" s="308"/>
      <c r="AR101" s="470">
        <f t="shared" si="266"/>
        <v>2784.84</v>
      </c>
      <c r="AS101" s="470">
        <f t="shared" si="254"/>
        <v>2919.96</v>
      </c>
      <c r="AT101" s="470">
        <f t="shared" si="254"/>
        <v>3069.6000000000004</v>
      </c>
      <c r="AU101" s="470">
        <f t="shared" si="254"/>
        <v>0</v>
      </c>
      <c r="AV101" s="470">
        <f t="shared" si="254"/>
        <v>0</v>
      </c>
      <c r="AW101" s="470">
        <f t="shared" si="254"/>
        <v>0</v>
      </c>
      <c r="AX101" s="470">
        <f t="shared" si="254"/>
        <v>0</v>
      </c>
      <c r="AY101" s="470">
        <f t="shared" si="254"/>
        <v>0</v>
      </c>
      <c r="AZ101" s="470">
        <f t="shared" si="254"/>
        <v>0</v>
      </c>
      <c r="BA101" s="470">
        <f t="shared" si="254"/>
        <v>0</v>
      </c>
      <c r="BB101" s="324">
        <f t="shared" si="255"/>
        <v>2919.96</v>
      </c>
      <c r="BC101" s="11"/>
      <c r="BF101" s="33"/>
      <c r="BG101" s="33"/>
      <c r="BH101" s="33"/>
    </row>
    <row r="102" spans="1:82" s="16" customFormat="1" ht="12.95" customHeight="1" thickTop="1" thickBot="1" x14ac:dyDescent="0.25">
      <c r="B102" s="11"/>
      <c r="C102" s="26" t="s">
        <v>57</v>
      </c>
      <c r="D102" s="26"/>
      <c r="E102" s="17"/>
      <c r="F102" s="31" t="str">
        <f>VLOOKUP(H$22,Saltab2023,23,FALSE)</f>
        <v>OP</v>
      </c>
      <c r="G102" s="31" t="str">
        <f>IF(F102="OP",IF('Invoer gegevens'!$E$33="ja","ja","nee"),"nee")</f>
        <v>ja</v>
      </c>
      <c r="H102" s="472">
        <f>IF($G102="nee",0,(VLOOKUP(H94,'Tabellen PO-Raad'!$B$26:$C$29,2,FALSE)))</f>
        <v>35.68</v>
      </c>
      <c r="I102" s="324">
        <f>IF(I$20&lt;&gt;"[leeg]",IF($G102="nee",0,(VLOOKUP(I94,'Tabellen PO-Raad'!$B$26:$C$29,2,FALSE))),0)</f>
        <v>35.68</v>
      </c>
      <c r="J102" s="324">
        <f>IF(J$20&lt;&gt;"[leeg]",IF($G102="nee",0,(VLOOKUP(J94,'Tabellen PO-Raad'!$B$26:$C$29,2,FALSE))),0)</f>
        <v>35.68</v>
      </c>
      <c r="K102" s="324">
        <f>IF(K$20&lt;&gt;"[leeg]",IF($G102="nee",0,(VLOOKUP(K94,'Tabellen PO-Raad'!$B$26:$C$29,2,FALSE))),0)</f>
        <v>0</v>
      </c>
      <c r="L102" s="324">
        <f>IF(L$20&lt;&gt;"[leeg]",IF($G102="nee",0,(VLOOKUP(L94,'Tabellen PO-Raad'!$B$26:$C$29,2,FALSE))),0)</f>
        <v>0</v>
      </c>
      <c r="M102" s="324">
        <f>IF(M$20&lt;&gt;"[leeg]",IF($G102="nee",0,(VLOOKUP(M94,'Tabellen PO-Raad'!$B$26:$C$29,2,FALSE))),0)</f>
        <v>0</v>
      </c>
      <c r="N102" s="324">
        <f>IF(N$20&lt;&gt;"[leeg]",IF($G102="nee",0,(VLOOKUP(N94,'Tabellen PO-Raad'!$B$26:$C$29,2,FALSE))),0)</f>
        <v>0</v>
      </c>
      <c r="O102" s="324">
        <f>IF(O$20&lt;&gt;"[leeg]",IF($G102="nee",0,(VLOOKUP(O94,'Tabellen PO-Raad'!$B$26:$C$29,2,FALSE))),0)</f>
        <v>0</v>
      </c>
      <c r="P102" s="324">
        <f>IF(P$20&lt;&gt;"[leeg]",IF($G102="nee",0,(VLOOKUP(P94,'Tabellen PO-Raad'!$B$26:$C$29,2,FALSE))),0)</f>
        <v>0</v>
      </c>
      <c r="Q102" s="324">
        <f>IF(Q$20&lt;&gt;"[leeg]",IF($G102="nee",0,(VLOOKUP(Q94,'Tabellen PO-Raad'!$B$26:$C$29,2,FALSE))),0)</f>
        <v>0</v>
      </c>
      <c r="R102" s="324">
        <f t="shared" si="256"/>
        <v>35.68</v>
      </c>
      <c r="S102" s="308"/>
      <c r="T102" s="324">
        <f>IF($G102="nee",0,(VLOOKUP(T94,'Tabellen PO-Raad'!$B$26:$C$29,2,FALSE)))</f>
        <v>35.68</v>
      </c>
      <c r="U102" s="324">
        <f>IF(U$20&lt;&gt;"[leeg]",IF($G102="nee",0,(VLOOKUP(U94,'Tabellen PO-Raad'!$B$26:$C$29,2,FALSE))),0)</f>
        <v>35.68</v>
      </c>
      <c r="V102" s="324">
        <f>IF(V$20&lt;&gt;"[leeg]",IF($G102="nee",0,(VLOOKUP(V94,'Tabellen PO-Raad'!$B$26:$C$29,2,FALSE))),0)</f>
        <v>35.68</v>
      </c>
      <c r="W102" s="324">
        <f>IF(W$20&lt;&gt;"[leeg]",IF($G102="nee",0,(VLOOKUP(W94,'Tabellen PO-Raad'!$B$26:$C$29,2,FALSE))),0)</f>
        <v>0</v>
      </c>
      <c r="X102" s="324">
        <f>IF(X$20&lt;&gt;"[leeg]",IF($G102="nee",0,(VLOOKUP(X94,'Tabellen PO-Raad'!$B$26:$C$29,2,FALSE))),0)</f>
        <v>0</v>
      </c>
      <c r="Y102" s="324">
        <f>IF(Y$20&lt;&gt;"[leeg]",IF($G102="nee",0,(VLOOKUP(Y94,'Tabellen PO-Raad'!$B$26:$C$29,2,FALSE))),0)</f>
        <v>0</v>
      </c>
      <c r="Z102" s="324">
        <f>IF(Z$20&lt;&gt;"[leeg]",IF($G102="nee",0,(VLOOKUP(Z94,'Tabellen PO-Raad'!$B$26:$C$29,2,FALSE))),0)</f>
        <v>0</v>
      </c>
      <c r="AA102" s="324">
        <f>IF(AA$20&lt;&gt;"[leeg]",IF($G102="nee",0,(VLOOKUP(AA94,'Tabellen PO-Raad'!$B$26:$C$29,2,FALSE))),0)</f>
        <v>0</v>
      </c>
      <c r="AB102" s="324">
        <f>IF(AB$20&lt;&gt;"[leeg]",IF($G102="nee",0,(VLOOKUP(AB94,'Tabellen PO-Raad'!$B$26:$C$29,2,FALSE))),0)</f>
        <v>0</v>
      </c>
      <c r="AC102" s="324">
        <f>IF(AC$20&lt;&gt;"[leeg]",IF($G102="nee",0,(VLOOKUP(AC94,'Tabellen PO-Raad'!$B$26:$C$29,2,FALSE))),0)</f>
        <v>0</v>
      </c>
      <c r="AD102" s="324">
        <f t="shared" si="243"/>
        <v>35.68</v>
      </c>
      <c r="AE102" s="308"/>
      <c r="AF102" s="324">
        <f>+H102*12</f>
        <v>428.15999999999997</v>
      </c>
      <c r="AG102" s="324">
        <f t="shared" si="257"/>
        <v>428.15999999999997</v>
      </c>
      <c r="AH102" s="324">
        <f t="shared" si="258"/>
        <v>428.15999999999997</v>
      </c>
      <c r="AI102" s="324">
        <f t="shared" si="259"/>
        <v>0</v>
      </c>
      <c r="AJ102" s="324">
        <f t="shared" si="260"/>
        <v>0</v>
      </c>
      <c r="AK102" s="324">
        <f t="shared" si="261"/>
        <v>0</v>
      </c>
      <c r="AL102" s="324">
        <f t="shared" si="262"/>
        <v>0</v>
      </c>
      <c r="AM102" s="324">
        <f t="shared" si="263"/>
        <v>0</v>
      </c>
      <c r="AN102" s="324">
        <f t="shared" si="264"/>
        <v>0</v>
      </c>
      <c r="AO102" s="324">
        <f t="shared" si="265"/>
        <v>0</v>
      </c>
      <c r="AP102" s="324">
        <f t="shared" si="253"/>
        <v>428.15999999999997</v>
      </c>
      <c r="AQ102" s="308"/>
      <c r="AR102" s="470">
        <f t="shared" si="266"/>
        <v>428.15999999999997</v>
      </c>
      <c r="AS102" s="470">
        <f t="shared" si="254"/>
        <v>428.15999999999997</v>
      </c>
      <c r="AT102" s="470">
        <f t="shared" si="254"/>
        <v>428.15999999999997</v>
      </c>
      <c r="AU102" s="470">
        <f t="shared" si="254"/>
        <v>0</v>
      </c>
      <c r="AV102" s="470">
        <f t="shared" si="254"/>
        <v>0</v>
      </c>
      <c r="AW102" s="470">
        <f t="shared" si="254"/>
        <v>0</v>
      </c>
      <c r="AX102" s="470">
        <f t="shared" si="254"/>
        <v>0</v>
      </c>
      <c r="AY102" s="470">
        <f t="shared" si="254"/>
        <v>0</v>
      </c>
      <c r="AZ102" s="470">
        <f t="shared" si="254"/>
        <v>0</v>
      </c>
      <c r="BA102" s="470">
        <f t="shared" si="254"/>
        <v>0</v>
      </c>
      <c r="BB102" s="324">
        <f t="shared" si="255"/>
        <v>428.15999999999997</v>
      </c>
      <c r="BC102" s="11"/>
      <c r="BF102" s="33"/>
      <c r="BG102" s="33"/>
      <c r="BH102" s="33"/>
    </row>
    <row r="103" spans="1:82" s="16" customFormat="1" ht="12.95" customHeight="1" thickTop="1" thickBot="1" x14ac:dyDescent="0.25">
      <c r="B103" s="11"/>
      <c r="C103" s="26" t="s">
        <v>333</v>
      </c>
      <c r="D103" s="26"/>
      <c r="E103" s="17"/>
      <c r="F103" s="31" t="str">
        <f>VLOOKUP(H$22,Saltab2023,23,FALSE)</f>
        <v>OP</v>
      </c>
      <c r="G103" s="31" t="str">
        <f>IF(F103="DIR","ja","nee")</f>
        <v>nee</v>
      </c>
      <c r="H103" s="472">
        <f>ROUND(IF($G103="ja",VLOOKUP(H94,Arbeidsmarkttoelage2023,2)*IF(H$97&gt;1,1,H$97),0),2)</f>
        <v>0</v>
      </c>
      <c r="I103" s="324">
        <f t="shared" ref="I103:Q103" si="267">IF(I$20&lt;&gt;"[leeg]",ROUND(IF($G103="ja",VLOOKUP(I94,Arbeidsmarkttoelage2023,2)*IF(H$97&gt;1,1,H$97),0),2),0)</f>
        <v>0</v>
      </c>
      <c r="J103" s="324">
        <f t="shared" si="267"/>
        <v>0</v>
      </c>
      <c r="K103" s="324">
        <f t="shared" si="267"/>
        <v>0</v>
      </c>
      <c r="L103" s="324">
        <f t="shared" si="267"/>
        <v>0</v>
      </c>
      <c r="M103" s="324">
        <f t="shared" si="267"/>
        <v>0</v>
      </c>
      <c r="N103" s="324">
        <f t="shared" si="267"/>
        <v>0</v>
      </c>
      <c r="O103" s="324">
        <f t="shared" si="267"/>
        <v>0</v>
      </c>
      <c r="P103" s="324">
        <f t="shared" si="267"/>
        <v>0</v>
      </c>
      <c r="Q103" s="324">
        <f t="shared" si="267"/>
        <v>0</v>
      </c>
      <c r="R103" s="324">
        <f t="shared" si="256"/>
        <v>0</v>
      </c>
      <c r="S103" s="308"/>
      <c r="T103" s="324">
        <f>ROUND(IF($G103="ja",VLOOKUP(T94,Arbeidsmarkttoelage2023,2)*IF(T$97&gt;1,1,T$97),0),2)</f>
        <v>0</v>
      </c>
      <c r="U103" s="324">
        <f t="shared" ref="U103:AC103" si="268">IF(U$20&lt;&gt;"[leeg]",ROUND(IF($G103="ja",VLOOKUP(U94,Arbeidsmarkttoelage2023,2)*IF(T$97&gt;1,1,T$97),0),2),0)</f>
        <v>0</v>
      </c>
      <c r="V103" s="324">
        <f t="shared" si="268"/>
        <v>0</v>
      </c>
      <c r="W103" s="324">
        <f t="shared" si="268"/>
        <v>0</v>
      </c>
      <c r="X103" s="324">
        <f t="shared" si="268"/>
        <v>0</v>
      </c>
      <c r="Y103" s="324">
        <f t="shared" si="268"/>
        <v>0</v>
      </c>
      <c r="Z103" s="324">
        <f t="shared" si="268"/>
        <v>0</v>
      </c>
      <c r="AA103" s="324">
        <f t="shared" si="268"/>
        <v>0</v>
      </c>
      <c r="AB103" s="324">
        <f t="shared" si="268"/>
        <v>0</v>
      </c>
      <c r="AC103" s="324">
        <f t="shared" si="268"/>
        <v>0</v>
      </c>
      <c r="AD103" s="324">
        <f t="shared" si="243"/>
        <v>0</v>
      </c>
      <c r="AE103" s="308"/>
      <c r="AF103" s="324">
        <f t="shared" ref="AF103:AF105" si="269">+H103*12</f>
        <v>0</v>
      </c>
      <c r="AG103" s="324">
        <f t="shared" si="257"/>
        <v>0</v>
      </c>
      <c r="AH103" s="324">
        <f t="shared" si="258"/>
        <v>0</v>
      </c>
      <c r="AI103" s="324">
        <f t="shared" si="259"/>
        <v>0</v>
      </c>
      <c r="AJ103" s="324">
        <f t="shared" si="260"/>
        <v>0</v>
      </c>
      <c r="AK103" s="324">
        <f t="shared" si="261"/>
        <v>0</v>
      </c>
      <c r="AL103" s="324">
        <f t="shared" si="262"/>
        <v>0</v>
      </c>
      <c r="AM103" s="324">
        <f t="shared" si="263"/>
        <v>0</v>
      </c>
      <c r="AN103" s="324">
        <f t="shared" si="264"/>
        <v>0</v>
      </c>
      <c r="AO103" s="324">
        <f t="shared" si="265"/>
        <v>0</v>
      </c>
      <c r="AP103" s="324">
        <f t="shared" si="253"/>
        <v>0</v>
      </c>
      <c r="AQ103" s="308"/>
      <c r="AR103" s="330">
        <f t="shared" si="266"/>
        <v>0</v>
      </c>
      <c r="AS103" s="330">
        <f t="shared" si="254"/>
        <v>0</v>
      </c>
      <c r="AT103" s="330">
        <f t="shared" si="254"/>
        <v>0</v>
      </c>
      <c r="AU103" s="330">
        <f t="shared" si="254"/>
        <v>0</v>
      </c>
      <c r="AV103" s="330">
        <f t="shared" si="254"/>
        <v>0</v>
      </c>
      <c r="AW103" s="330">
        <f t="shared" si="254"/>
        <v>0</v>
      </c>
      <c r="AX103" s="330">
        <f t="shared" si="254"/>
        <v>0</v>
      </c>
      <c r="AY103" s="330">
        <f t="shared" si="254"/>
        <v>0</v>
      </c>
      <c r="AZ103" s="330">
        <f t="shared" si="254"/>
        <v>0</v>
      </c>
      <c r="BA103" s="330">
        <f t="shared" si="254"/>
        <v>0</v>
      </c>
      <c r="BB103" s="324">
        <f t="shared" si="255"/>
        <v>0</v>
      </c>
      <c r="BC103" s="11"/>
      <c r="BF103" s="33"/>
      <c r="BG103" s="33"/>
      <c r="BH103" s="33"/>
    </row>
    <row r="104" spans="1:82" s="16" customFormat="1" ht="12.95" customHeight="1" thickTop="1" thickBot="1" x14ac:dyDescent="0.25">
      <c r="B104" s="11"/>
      <c r="C104" s="26" t="s">
        <v>34</v>
      </c>
      <c r="D104" s="26"/>
      <c r="E104" s="17"/>
      <c r="F104" s="31">
        <f>IF(AF94=100,H94,0)</f>
        <v>0</v>
      </c>
      <c r="G104" s="31" t="str">
        <f>IF(F103="OOP","ja","nee")</f>
        <v>nee</v>
      </c>
      <c r="H104" s="472">
        <f>ROUND(IF($G104="ja",IF($H94&lt;9,'Tabellen PO-Raad'!$D$38,'Tabellen PO-Raad'!$D$39)*IF(H$97&gt;1,1,H$97),0),2)</f>
        <v>0</v>
      </c>
      <c r="I104" s="324">
        <f>IF(I$20&lt;&gt;"[leeg]",ROUND(IF($G104="ja",IF($I94&lt;9,'Tabellen PO-Raad'!$D$38,'Tabellen PO-Raad'!$D$39)*IF(H$97&gt;1,1,H$97),0),2),0)</f>
        <v>0</v>
      </c>
      <c r="J104" s="324">
        <f>IF(J$20&lt;&gt;"[leeg]",ROUND(IF($G104="ja",IF($I94&lt;9,'Tabellen PO-Raad'!$D$38,'Tabellen PO-Raad'!$D$39)*IF(I$97&gt;1,1,I$97),0),2),0)</f>
        <v>0</v>
      </c>
      <c r="K104" s="324">
        <f>IF(K$20&lt;&gt;"[leeg]",ROUND(IF($G104="ja",IF($I94&lt;9,'Tabellen PO-Raad'!$D$38,'Tabellen PO-Raad'!$D$39)*IF(J$97&gt;1,1,J$97),0),2),0)</f>
        <v>0</v>
      </c>
      <c r="L104" s="324">
        <f>IF(L$20&lt;&gt;"[leeg]",ROUND(IF($G104="ja",IF($I94&lt;9,'Tabellen PO-Raad'!$D$38,'Tabellen PO-Raad'!$D$39)*IF(K$97&gt;1,1,K$97),0),2),0)</f>
        <v>0</v>
      </c>
      <c r="M104" s="324">
        <f>IF(M$20&lt;&gt;"[leeg]",ROUND(IF($G104="ja",IF($I94&lt;9,'Tabellen PO-Raad'!$D$38,'Tabellen PO-Raad'!$D$39)*IF(L$97&gt;1,1,L$97),0),2),0)</f>
        <v>0</v>
      </c>
      <c r="N104" s="324">
        <f>IF(N$20&lt;&gt;"[leeg]",ROUND(IF($G104="ja",IF($I94&lt;9,'Tabellen PO-Raad'!$D$38,'Tabellen PO-Raad'!$D$39)*IF(M$97&gt;1,1,M$97),0),2),0)</f>
        <v>0</v>
      </c>
      <c r="O104" s="324">
        <f>IF(O$20&lt;&gt;"[leeg]",ROUND(IF($G104="ja",IF($I94&lt;9,'Tabellen PO-Raad'!$D$38,'Tabellen PO-Raad'!$D$39)*IF(N$97&gt;1,1,N$97),0),2),0)</f>
        <v>0</v>
      </c>
      <c r="P104" s="324">
        <f>IF(P$20&lt;&gt;"[leeg]",ROUND(IF($G104="ja",IF($I94&lt;9,'Tabellen PO-Raad'!$D$38,'Tabellen PO-Raad'!$D$39)*IF(O$97&gt;1,1,O$97),0),2),0)</f>
        <v>0</v>
      </c>
      <c r="Q104" s="324">
        <f>IF(Q$20&lt;&gt;"[leeg]",ROUND(IF($G104="ja",IF($I94&lt;9,'Tabellen PO-Raad'!$D$38,'Tabellen PO-Raad'!$D$39)*IF(P$97&gt;1,1,P$97),0),2),0)</f>
        <v>0</v>
      </c>
      <c r="R104" s="324">
        <f t="shared" si="256"/>
        <v>0</v>
      </c>
      <c r="S104" s="308"/>
      <c r="T104" s="324">
        <f>ROUND(IF($G104="ja",IF($H94&lt;9,'Tabellen PO-Raad'!$D$38,'Tabellen PO-Raad'!$D$39)*IF(T$97&gt;1,1,T$97),0),2)</f>
        <v>0</v>
      </c>
      <c r="U104" s="324">
        <f>IF(U$20&lt;&gt;"[leeg]",ROUND(IF($G104="ja",IF($I94&lt;9,'Tabellen PO-Raad'!$D$38,'Tabellen PO-Raad'!$D$39)*IF(T$97&gt;1,1,T$97),0),2),0)</f>
        <v>0</v>
      </c>
      <c r="V104" s="324">
        <f>IF(V$20&lt;&gt;"[leeg]",ROUND(IF($G104="ja",IF($I94&lt;9,'Tabellen PO-Raad'!$D$38,'Tabellen PO-Raad'!$D$39)*IF(U$97&gt;1,1,U$97),0),2),0)</f>
        <v>0</v>
      </c>
      <c r="W104" s="324">
        <f>IF(W$20&lt;&gt;"[leeg]",ROUND(IF($G104="ja",IF($I94&lt;9,'Tabellen PO-Raad'!$D$38,'Tabellen PO-Raad'!$D$39)*IF(V$97&gt;1,1,V$97),0),2),0)</f>
        <v>0</v>
      </c>
      <c r="X104" s="324">
        <f>IF(X$20&lt;&gt;"[leeg]",ROUND(IF($G104="ja",IF($I94&lt;9,'Tabellen PO-Raad'!$D$38,'Tabellen PO-Raad'!$D$39)*IF(W$97&gt;1,1,W$97),0),2),0)</f>
        <v>0</v>
      </c>
      <c r="Y104" s="324">
        <f>IF(Y$20&lt;&gt;"[leeg]",ROUND(IF($G104="ja",IF($I94&lt;9,'Tabellen PO-Raad'!$D$38,'Tabellen PO-Raad'!$D$39)*IF(X$97&gt;1,1,X$97),0),2),0)</f>
        <v>0</v>
      </c>
      <c r="Z104" s="324">
        <f>IF(Z$20&lt;&gt;"[leeg]",ROUND(IF($G104="ja",IF($I94&lt;9,'Tabellen PO-Raad'!$D$38,'Tabellen PO-Raad'!$D$39)*IF(Y$97&gt;1,1,Y$97),0),2),0)</f>
        <v>0</v>
      </c>
      <c r="AA104" s="324">
        <f>IF(AA$20&lt;&gt;"[leeg]",ROUND(IF($G104="ja",IF($I94&lt;9,'Tabellen PO-Raad'!$D$38,'Tabellen PO-Raad'!$D$39)*IF(Z$97&gt;1,1,Z$97),0),2),0)</f>
        <v>0</v>
      </c>
      <c r="AB104" s="324">
        <f>IF(AB$20&lt;&gt;"[leeg]",ROUND(IF($G104="ja",IF($I94&lt;9,'Tabellen PO-Raad'!$D$38,'Tabellen PO-Raad'!$D$39)*IF(AA$97&gt;1,1,AA$97),0),2),0)</f>
        <v>0</v>
      </c>
      <c r="AC104" s="324">
        <f>IF(AC$20&lt;&gt;"[leeg]",ROUND(IF($G104="ja",IF($I94&lt;9,'Tabellen PO-Raad'!$D$38,'Tabellen PO-Raad'!$D$39)*IF(AB$97&gt;1,1,AB$97),0),2),0)</f>
        <v>0</v>
      </c>
      <c r="AD104" s="324">
        <f t="shared" si="243"/>
        <v>0</v>
      </c>
      <c r="AE104" s="308"/>
      <c r="AF104" s="324">
        <f t="shared" si="269"/>
        <v>0</v>
      </c>
      <c r="AG104" s="324">
        <f t="shared" si="257"/>
        <v>0</v>
      </c>
      <c r="AH104" s="324">
        <f t="shared" si="258"/>
        <v>0</v>
      </c>
      <c r="AI104" s="324">
        <f t="shared" si="259"/>
        <v>0</v>
      </c>
      <c r="AJ104" s="324">
        <f t="shared" si="260"/>
        <v>0</v>
      </c>
      <c r="AK104" s="324">
        <f t="shared" si="261"/>
        <v>0</v>
      </c>
      <c r="AL104" s="324">
        <f t="shared" si="262"/>
        <v>0</v>
      </c>
      <c r="AM104" s="324">
        <f t="shared" si="263"/>
        <v>0</v>
      </c>
      <c r="AN104" s="324">
        <f t="shared" si="264"/>
        <v>0</v>
      </c>
      <c r="AO104" s="324">
        <f t="shared" si="265"/>
        <v>0</v>
      </c>
      <c r="AP104" s="324">
        <f t="shared" si="253"/>
        <v>0</v>
      </c>
      <c r="AQ104" s="308"/>
      <c r="AR104" s="330">
        <f t="shared" si="266"/>
        <v>0</v>
      </c>
      <c r="AS104" s="330">
        <f t="shared" si="254"/>
        <v>0</v>
      </c>
      <c r="AT104" s="330">
        <f t="shared" si="254"/>
        <v>0</v>
      </c>
      <c r="AU104" s="330">
        <f t="shared" si="254"/>
        <v>0</v>
      </c>
      <c r="AV104" s="330">
        <f t="shared" si="254"/>
        <v>0</v>
      </c>
      <c r="AW104" s="330">
        <f t="shared" si="254"/>
        <v>0</v>
      </c>
      <c r="AX104" s="330">
        <f t="shared" si="254"/>
        <v>0</v>
      </c>
      <c r="AY104" s="330">
        <f t="shared" si="254"/>
        <v>0</v>
      </c>
      <c r="AZ104" s="330">
        <f t="shared" si="254"/>
        <v>0</v>
      </c>
      <c r="BA104" s="330">
        <f t="shared" si="254"/>
        <v>0</v>
      </c>
      <c r="BB104" s="324">
        <f t="shared" si="255"/>
        <v>0</v>
      </c>
      <c r="BC104" s="11"/>
      <c r="BF104" s="33"/>
      <c r="BG104" s="33"/>
      <c r="BH104" s="33"/>
    </row>
    <row r="105" spans="1:82" s="16" customFormat="1" ht="12.95" customHeight="1" thickTop="1" thickBot="1" x14ac:dyDescent="0.25">
      <c r="B105" s="11"/>
      <c r="C105" s="26" t="s">
        <v>334</v>
      </c>
      <c r="D105" s="26"/>
      <c r="E105" s="17"/>
      <c r="F105" s="465" t="str">
        <f>H94&amp;H95</f>
        <v>LB9</v>
      </c>
      <c r="G105" s="30" t="e">
        <f>VLOOKUP(F105,Bindingstoelage2023,2,FALSE)</f>
        <v>#N/A</v>
      </c>
      <c r="H105" s="472">
        <f>_xlfn.IFNA($G105,0)</f>
        <v>0</v>
      </c>
      <c r="I105" s="324">
        <f>IF(I$20&lt;&gt;"[leeg]",_xlfn.IFNA($G105,0),0)</f>
        <v>0</v>
      </c>
      <c r="J105" s="324">
        <f t="shared" ref="J105:Q105" si="270">IF(J$20&lt;&gt;"[leeg]",_xlfn.IFNA($G105,0),0)</f>
        <v>0</v>
      </c>
      <c r="K105" s="324">
        <f t="shared" si="270"/>
        <v>0</v>
      </c>
      <c r="L105" s="324">
        <f t="shared" si="270"/>
        <v>0</v>
      </c>
      <c r="M105" s="324">
        <f t="shared" si="270"/>
        <v>0</v>
      </c>
      <c r="N105" s="324">
        <f t="shared" si="270"/>
        <v>0</v>
      </c>
      <c r="O105" s="324">
        <f t="shared" si="270"/>
        <v>0</v>
      </c>
      <c r="P105" s="324">
        <f t="shared" si="270"/>
        <v>0</v>
      </c>
      <c r="Q105" s="324">
        <f t="shared" si="270"/>
        <v>0</v>
      </c>
      <c r="R105" s="324">
        <f t="shared" si="256"/>
        <v>0</v>
      </c>
      <c r="S105" s="308"/>
      <c r="T105" s="324">
        <f>_xlfn.IFNA($G105,0)</f>
        <v>0</v>
      </c>
      <c r="U105" s="324">
        <f>IF(U$20&lt;&gt;"[leeg]",_xlfn.IFNA($G105,0),0)</f>
        <v>0</v>
      </c>
      <c r="V105" s="324">
        <f t="shared" ref="V105:AC105" si="271">IF(V$20&lt;&gt;"[leeg]",_xlfn.IFNA($G105,0),0)</f>
        <v>0</v>
      </c>
      <c r="W105" s="324">
        <f t="shared" si="271"/>
        <v>0</v>
      </c>
      <c r="X105" s="324">
        <f t="shared" si="271"/>
        <v>0</v>
      </c>
      <c r="Y105" s="324">
        <f t="shared" si="271"/>
        <v>0</v>
      </c>
      <c r="Z105" s="324">
        <f t="shared" si="271"/>
        <v>0</v>
      </c>
      <c r="AA105" s="324">
        <f t="shared" si="271"/>
        <v>0</v>
      </c>
      <c r="AB105" s="324">
        <f t="shared" si="271"/>
        <v>0</v>
      </c>
      <c r="AC105" s="324">
        <f t="shared" si="271"/>
        <v>0</v>
      </c>
      <c r="AD105" s="324">
        <f t="shared" si="243"/>
        <v>0</v>
      </c>
      <c r="AE105" s="308"/>
      <c r="AF105" s="324">
        <f t="shared" si="269"/>
        <v>0</v>
      </c>
      <c r="AG105" s="324">
        <f t="shared" si="257"/>
        <v>0</v>
      </c>
      <c r="AH105" s="324">
        <f t="shared" si="258"/>
        <v>0</v>
      </c>
      <c r="AI105" s="324">
        <f t="shared" si="259"/>
        <v>0</v>
      </c>
      <c r="AJ105" s="324">
        <f t="shared" si="260"/>
        <v>0</v>
      </c>
      <c r="AK105" s="324">
        <f t="shared" si="261"/>
        <v>0</v>
      </c>
      <c r="AL105" s="324">
        <f t="shared" si="262"/>
        <v>0</v>
      </c>
      <c r="AM105" s="324">
        <f t="shared" si="263"/>
        <v>0</v>
      </c>
      <c r="AN105" s="324">
        <f t="shared" si="264"/>
        <v>0</v>
      </c>
      <c r="AO105" s="324">
        <f t="shared" si="265"/>
        <v>0</v>
      </c>
      <c r="AP105" s="324">
        <f t="shared" si="253"/>
        <v>0</v>
      </c>
      <c r="AQ105" s="308"/>
      <c r="AR105" s="330">
        <f t="shared" si="266"/>
        <v>0</v>
      </c>
      <c r="AS105" s="330">
        <f t="shared" si="254"/>
        <v>0</v>
      </c>
      <c r="AT105" s="330">
        <f t="shared" si="254"/>
        <v>0</v>
      </c>
      <c r="AU105" s="330">
        <f t="shared" si="254"/>
        <v>0</v>
      </c>
      <c r="AV105" s="330">
        <f t="shared" si="254"/>
        <v>0</v>
      </c>
      <c r="AW105" s="330">
        <f t="shared" si="254"/>
        <v>0</v>
      </c>
      <c r="AX105" s="330">
        <f t="shared" si="254"/>
        <v>0</v>
      </c>
      <c r="AY105" s="330">
        <f t="shared" si="254"/>
        <v>0</v>
      </c>
      <c r="AZ105" s="330">
        <f t="shared" si="254"/>
        <v>0</v>
      </c>
      <c r="BA105" s="330">
        <f t="shared" si="254"/>
        <v>0</v>
      </c>
      <c r="BB105" s="324">
        <f t="shared" si="255"/>
        <v>0</v>
      </c>
      <c r="BC105" s="11"/>
      <c r="BF105" s="33"/>
      <c r="BG105" s="33"/>
      <c r="BH105" s="33"/>
    </row>
    <row r="106" spans="1:82" s="16" customFormat="1" ht="12.95" customHeight="1" collapsed="1" thickTop="1" thickBot="1" x14ac:dyDescent="0.25">
      <c r="B106" s="11"/>
      <c r="C106" s="28" t="s">
        <v>101</v>
      </c>
      <c r="D106" s="28"/>
      <c r="E106" s="90"/>
      <c r="F106" s="29"/>
      <c r="G106" s="44"/>
      <c r="H106" s="471">
        <f t="shared" ref="H106" si="272">SUM(H100:H105)</f>
        <v>362.3</v>
      </c>
      <c r="I106" s="330">
        <f t="shared" ref="I106" si="273">SUM(I100:I105)</f>
        <v>378.06</v>
      </c>
      <c r="J106" s="330">
        <f t="shared" ref="J106" si="274">SUM(J100:J105)</f>
        <v>395.54</v>
      </c>
      <c r="K106" s="330">
        <f t="shared" ref="K106" si="275">SUM(K100:K105)</f>
        <v>0</v>
      </c>
      <c r="L106" s="330">
        <f t="shared" ref="L106" si="276">SUM(L100:L105)</f>
        <v>0</v>
      </c>
      <c r="M106" s="330">
        <f t="shared" ref="M106" si="277">SUM(M100:M105)</f>
        <v>0</v>
      </c>
      <c r="N106" s="330">
        <f t="shared" ref="N106" si="278">SUM(N100:N105)</f>
        <v>0</v>
      </c>
      <c r="O106" s="330">
        <f t="shared" ref="O106" si="279">SUM(O100:O105)</f>
        <v>0</v>
      </c>
      <c r="P106" s="330">
        <f t="shared" ref="P106" si="280">SUM(P100:P105)</f>
        <v>0</v>
      </c>
      <c r="Q106" s="330">
        <f t="shared" ref="Q106" si="281">SUM(Q100:Q105)</f>
        <v>0</v>
      </c>
      <c r="R106" s="330">
        <f t="shared" si="256"/>
        <v>378.06</v>
      </c>
      <c r="S106" s="308"/>
      <c r="T106" s="330">
        <f t="shared" ref="T106" si="282">SUM(T100:T105)</f>
        <v>490.63</v>
      </c>
      <c r="U106" s="330">
        <f t="shared" ref="U106:AC106" si="283">SUM(U100:U105)</f>
        <v>512.69999999999993</v>
      </c>
      <c r="V106" s="330">
        <f t="shared" si="283"/>
        <v>537.15</v>
      </c>
      <c r="W106" s="330">
        <f t="shared" si="283"/>
        <v>0</v>
      </c>
      <c r="X106" s="330">
        <f t="shared" si="283"/>
        <v>0</v>
      </c>
      <c r="Y106" s="330">
        <f t="shared" si="283"/>
        <v>0</v>
      </c>
      <c r="Z106" s="330">
        <f t="shared" si="283"/>
        <v>0</v>
      </c>
      <c r="AA106" s="330">
        <f t="shared" si="283"/>
        <v>0</v>
      </c>
      <c r="AB106" s="330">
        <f t="shared" si="283"/>
        <v>0</v>
      </c>
      <c r="AC106" s="330">
        <f t="shared" si="283"/>
        <v>0</v>
      </c>
      <c r="AD106" s="330">
        <f t="shared" si="243"/>
        <v>512.69999999999993</v>
      </c>
      <c r="AE106" s="308"/>
      <c r="AF106" s="330">
        <f>SUM(AF100:AF105)</f>
        <v>4347.6000000000004</v>
      </c>
      <c r="AG106" s="330">
        <f t="shared" ref="AG106" si="284">SUM(AG100:AG105)</f>
        <v>4536.7199999999993</v>
      </c>
      <c r="AH106" s="330">
        <f t="shared" ref="AH106" si="285">SUM(AH100:AH105)</f>
        <v>4746.4799999999996</v>
      </c>
      <c r="AI106" s="330">
        <f t="shared" ref="AI106" si="286">SUM(AI100:AI105)</f>
        <v>0</v>
      </c>
      <c r="AJ106" s="330">
        <f t="shared" ref="AJ106" si="287">SUM(AJ100:AJ105)</f>
        <v>0</v>
      </c>
      <c r="AK106" s="330">
        <f t="shared" ref="AK106" si="288">SUM(AK100:AK105)</f>
        <v>0</v>
      </c>
      <c r="AL106" s="330">
        <f t="shared" ref="AL106" si="289">SUM(AL100:AL105)</f>
        <v>0</v>
      </c>
      <c r="AM106" s="330">
        <f t="shared" ref="AM106" si="290">SUM(AM100:AM105)</f>
        <v>0</v>
      </c>
      <c r="AN106" s="330">
        <f t="shared" ref="AN106" si="291">SUM(AN100:AN105)</f>
        <v>0</v>
      </c>
      <c r="AO106" s="330">
        <f t="shared" ref="AO106" si="292">SUM(AO100:AO105)</f>
        <v>0</v>
      </c>
      <c r="AP106" s="330">
        <f t="shared" si="253"/>
        <v>4536.7199999999993</v>
      </c>
      <c r="AQ106" s="308"/>
      <c r="AR106" s="330">
        <f t="shared" ref="AR106:BA106" si="293">SUM(AR100:AR105)</f>
        <v>5887.5599999999995</v>
      </c>
      <c r="AS106" s="330">
        <f t="shared" si="293"/>
        <v>6152.4</v>
      </c>
      <c r="AT106" s="330">
        <f t="shared" si="293"/>
        <v>6445.8</v>
      </c>
      <c r="AU106" s="330">
        <f t="shared" si="293"/>
        <v>0</v>
      </c>
      <c r="AV106" s="330">
        <f t="shared" si="293"/>
        <v>0</v>
      </c>
      <c r="AW106" s="330">
        <f t="shared" si="293"/>
        <v>0</v>
      </c>
      <c r="AX106" s="330">
        <f t="shared" si="293"/>
        <v>0</v>
      </c>
      <c r="AY106" s="330">
        <f t="shared" si="293"/>
        <v>0</v>
      </c>
      <c r="AZ106" s="330">
        <f t="shared" si="293"/>
        <v>0</v>
      </c>
      <c r="BA106" s="330">
        <f t="shared" si="293"/>
        <v>0</v>
      </c>
      <c r="BB106" s="330">
        <f t="shared" si="255"/>
        <v>6152.4</v>
      </c>
      <c r="BC106" s="11"/>
      <c r="BF106" s="33"/>
      <c r="BG106" s="33"/>
      <c r="BH106" s="33"/>
    </row>
    <row r="107" spans="1:82" s="16" customFormat="1" ht="12.95" customHeight="1" thickTop="1" thickBot="1" x14ac:dyDescent="0.25">
      <c r="B107" s="11"/>
      <c r="C107" s="28" t="s">
        <v>143</v>
      </c>
      <c r="D107" s="28"/>
      <c r="E107" s="88"/>
      <c r="F107" s="27"/>
      <c r="G107" s="47"/>
      <c r="H107" s="471">
        <f t="shared" ref="H107" si="294">H99+H106</f>
        <v>2326.8000000000002</v>
      </c>
      <c r="I107" s="330">
        <f t="shared" ref="I107" si="295">I99+I106</f>
        <v>2439.06</v>
      </c>
      <c r="J107" s="330">
        <f t="shared" ref="J107" si="296">J99+J106</f>
        <v>2563.54</v>
      </c>
      <c r="K107" s="330">
        <f t="shared" ref="K107" si="297">K99+K106</f>
        <v>0</v>
      </c>
      <c r="L107" s="330">
        <f t="shared" ref="L107" si="298">L99+L106</f>
        <v>0</v>
      </c>
      <c r="M107" s="330">
        <f t="shared" ref="M107" si="299">M99+M106</f>
        <v>0</v>
      </c>
      <c r="N107" s="330">
        <f t="shared" ref="N107" si="300">N99+N106</f>
        <v>0</v>
      </c>
      <c r="O107" s="330">
        <f t="shared" ref="O107" si="301">O99+O106</f>
        <v>0</v>
      </c>
      <c r="P107" s="330">
        <f t="shared" ref="P107" si="302">P99+P106</f>
        <v>0</v>
      </c>
      <c r="Q107" s="330">
        <f t="shared" ref="Q107" si="303">Q99+Q106</f>
        <v>0</v>
      </c>
      <c r="R107" s="330">
        <f t="shared" si="256"/>
        <v>2439.06</v>
      </c>
      <c r="S107" s="308"/>
      <c r="T107" s="330">
        <f t="shared" ref="T107:U107" si="304">T99+T106</f>
        <v>3240.93</v>
      </c>
      <c r="U107" s="330">
        <f t="shared" si="304"/>
        <v>3398.0999999999995</v>
      </c>
      <c r="V107" s="330">
        <f t="shared" ref="V107:AC107" si="305">V99+V106</f>
        <v>3572.35</v>
      </c>
      <c r="W107" s="330">
        <f t="shared" si="305"/>
        <v>0</v>
      </c>
      <c r="X107" s="330">
        <f t="shared" si="305"/>
        <v>0</v>
      </c>
      <c r="Y107" s="330">
        <f t="shared" si="305"/>
        <v>0</v>
      </c>
      <c r="Z107" s="330">
        <f t="shared" si="305"/>
        <v>0</v>
      </c>
      <c r="AA107" s="330">
        <f t="shared" si="305"/>
        <v>0</v>
      </c>
      <c r="AB107" s="330">
        <f t="shared" si="305"/>
        <v>0</v>
      </c>
      <c r="AC107" s="330">
        <f t="shared" si="305"/>
        <v>0</v>
      </c>
      <c r="AD107" s="330">
        <f t="shared" si="243"/>
        <v>3398.0999999999995</v>
      </c>
      <c r="AE107" s="308"/>
      <c r="AF107" s="330">
        <f t="shared" ref="AF107" si="306">AF99+AF106</f>
        <v>27921.599999999999</v>
      </c>
      <c r="AG107" s="330">
        <f t="shared" ref="AG107" si="307">AG99+AG106</f>
        <v>29268.720000000001</v>
      </c>
      <c r="AH107" s="330">
        <f t="shared" ref="AH107" si="308">AH99+AH106</f>
        <v>30762.48</v>
      </c>
      <c r="AI107" s="330">
        <f t="shared" ref="AI107" si="309">AI99+AI106</f>
        <v>0</v>
      </c>
      <c r="AJ107" s="330">
        <f t="shared" ref="AJ107" si="310">AJ99+AJ106</f>
        <v>0</v>
      </c>
      <c r="AK107" s="330">
        <f t="shared" ref="AK107" si="311">AK99+AK106</f>
        <v>0</v>
      </c>
      <c r="AL107" s="330">
        <f t="shared" ref="AL107" si="312">AL99+AL106</f>
        <v>0</v>
      </c>
      <c r="AM107" s="330">
        <f t="shared" ref="AM107" si="313">AM99+AM106</f>
        <v>0</v>
      </c>
      <c r="AN107" s="330">
        <f t="shared" ref="AN107" si="314">AN99+AN106</f>
        <v>0</v>
      </c>
      <c r="AO107" s="330">
        <f t="shared" ref="AO107" si="315">AO99+AO106</f>
        <v>0</v>
      </c>
      <c r="AP107" s="330">
        <f t="shared" si="253"/>
        <v>29268.720000000001</v>
      </c>
      <c r="AQ107" s="308"/>
      <c r="AR107" s="330">
        <f t="shared" ref="AR107:BA107" si="316">AR99+AR106</f>
        <v>38891.159999999996</v>
      </c>
      <c r="AS107" s="330">
        <f t="shared" si="316"/>
        <v>40777.199999999997</v>
      </c>
      <c r="AT107" s="330">
        <f t="shared" si="316"/>
        <v>42868.2</v>
      </c>
      <c r="AU107" s="330">
        <f t="shared" si="316"/>
        <v>0</v>
      </c>
      <c r="AV107" s="330">
        <f t="shared" si="316"/>
        <v>0</v>
      </c>
      <c r="AW107" s="330">
        <f t="shared" si="316"/>
        <v>0</v>
      </c>
      <c r="AX107" s="330">
        <f t="shared" si="316"/>
        <v>0</v>
      </c>
      <c r="AY107" s="330">
        <f t="shared" si="316"/>
        <v>0</v>
      </c>
      <c r="AZ107" s="330">
        <f t="shared" si="316"/>
        <v>0</v>
      </c>
      <c r="BA107" s="330">
        <f t="shared" si="316"/>
        <v>0</v>
      </c>
      <c r="BB107" s="330">
        <f t="shared" si="255"/>
        <v>40777.199999999997</v>
      </c>
      <c r="BC107" s="11"/>
      <c r="BF107" s="33"/>
      <c r="BG107" s="33"/>
      <c r="BH107" s="33"/>
    </row>
    <row r="108" spans="1:82" s="16" customFormat="1" ht="12.95" customHeight="1" thickTop="1" thickBot="1" x14ac:dyDescent="0.25">
      <c r="B108" s="11"/>
      <c r="C108" s="43" t="s">
        <v>15</v>
      </c>
      <c r="D108" s="43"/>
      <c r="E108" s="91"/>
      <c r="F108" s="50"/>
      <c r="G108" s="43"/>
      <c r="H108" s="472">
        <f>AF108/12</f>
        <v>2326.7999999999997</v>
      </c>
      <c r="I108" s="324">
        <f>IF(I$20&lt;&gt;"[leeg]",AG108/12,0)</f>
        <v>2439.06</v>
      </c>
      <c r="J108" s="324">
        <f t="shared" ref="J108" si="317">IF(J$20&lt;&gt;"[leeg]",AH108/12,0)</f>
        <v>2563.54</v>
      </c>
      <c r="K108" s="324">
        <f t="shared" ref="K108" si="318">IF(K$20&lt;&gt;"[leeg]",AI108/12,0)</f>
        <v>0</v>
      </c>
      <c r="L108" s="324">
        <f t="shared" ref="L108" si="319">IF(L$20&lt;&gt;"[leeg]",AJ108/12,0)</f>
        <v>0</v>
      </c>
      <c r="M108" s="324">
        <f t="shared" ref="M108" si="320">IF(M$20&lt;&gt;"[leeg]",AK108/12,0)</f>
        <v>0</v>
      </c>
      <c r="N108" s="324">
        <f t="shared" ref="N108" si="321">IF(N$20&lt;&gt;"[leeg]",AL108/12,0)</f>
        <v>0</v>
      </c>
      <c r="O108" s="324">
        <f t="shared" ref="O108" si="322">IF(O$20&lt;&gt;"[leeg]",AM108/12,0)</f>
        <v>0</v>
      </c>
      <c r="P108" s="324">
        <f t="shared" ref="P108" si="323">IF(P$20&lt;&gt;"[leeg]",AN108/12,0)</f>
        <v>0</v>
      </c>
      <c r="Q108" s="324">
        <f t="shared" ref="Q108" si="324">IF(Q$20&lt;&gt;"[leeg]",AO108/12,0)</f>
        <v>0</v>
      </c>
      <c r="R108" s="324">
        <f t="shared" si="256"/>
        <v>2439.06</v>
      </c>
      <c r="S108" s="308"/>
      <c r="T108" s="324">
        <f>AR108/12</f>
        <v>3240.93</v>
      </c>
      <c r="U108" s="324">
        <f>IF(U$20&lt;&gt;"[leeg]",AS108/12,0)</f>
        <v>3398.1</v>
      </c>
      <c r="V108" s="324">
        <f t="shared" ref="V108:AC108" si="325">IF(V$20&lt;&gt;"[leeg]",AT108/12,0)</f>
        <v>3572.35</v>
      </c>
      <c r="W108" s="324">
        <f t="shared" si="325"/>
        <v>0</v>
      </c>
      <c r="X108" s="324">
        <f t="shared" si="325"/>
        <v>0</v>
      </c>
      <c r="Y108" s="324">
        <f t="shared" si="325"/>
        <v>0</v>
      </c>
      <c r="Z108" s="324">
        <f t="shared" si="325"/>
        <v>0</v>
      </c>
      <c r="AA108" s="324">
        <f t="shared" si="325"/>
        <v>0</v>
      </c>
      <c r="AB108" s="324">
        <f t="shared" si="325"/>
        <v>0</v>
      </c>
      <c r="AC108" s="324">
        <f t="shared" si="325"/>
        <v>0</v>
      </c>
      <c r="AD108" s="324">
        <f t="shared" si="243"/>
        <v>3398.1</v>
      </c>
      <c r="AE108" s="308"/>
      <c r="AF108" s="324">
        <f>AF107</f>
        <v>27921.599999999999</v>
      </c>
      <c r="AG108" s="324">
        <f t="shared" ref="AG108" si="326">AG107</f>
        <v>29268.720000000001</v>
      </c>
      <c r="AH108" s="324">
        <f t="shared" ref="AH108" si="327">AH107</f>
        <v>30762.48</v>
      </c>
      <c r="AI108" s="324">
        <f t="shared" ref="AI108" si="328">AI107</f>
        <v>0</v>
      </c>
      <c r="AJ108" s="324">
        <f t="shared" ref="AJ108" si="329">AJ107</f>
        <v>0</v>
      </c>
      <c r="AK108" s="324">
        <f t="shared" ref="AK108" si="330">AK107</f>
        <v>0</v>
      </c>
      <c r="AL108" s="324">
        <f t="shared" ref="AL108" si="331">AL107</f>
        <v>0</v>
      </c>
      <c r="AM108" s="324">
        <f t="shared" ref="AM108" si="332">AM107</f>
        <v>0</v>
      </c>
      <c r="AN108" s="324">
        <f t="shared" ref="AN108" si="333">AN107</f>
        <v>0</v>
      </c>
      <c r="AO108" s="324">
        <f t="shared" ref="AO108" si="334">AO107</f>
        <v>0</v>
      </c>
      <c r="AP108" s="324">
        <f t="shared" si="253"/>
        <v>29268.720000000001</v>
      </c>
      <c r="AQ108" s="308"/>
      <c r="AR108" s="324">
        <f>AR107</f>
        <v>38891.159999999996</v>
      </c>
      <c r="AS108" s="324">
        <f t="shared" ref="AS108:BA108" si="335">AS107</f>
        <v>40777.199999999997</v>
      </c>
      <c r="AT108" s="324">
        <f t="shared" si="335"/>
        <v>42868.2</v>
      </c>
      <c r="AU108" s="324">
        <f t="shared" si="335"/>
        <v>0</v>
      </c>
      <c r="AV108" s="324">
        <f t="shared" si="335"/>
        <v>0</v>
      </c>
      <c r="AW108" s="324">
        <f t="shared" si="335"/>
        <v>0</v>
      </c>
      <c r="AX108" s="324">
        <f t="shared" si="335"/>
        <v>0</v>
      </c>
      <c r="AY108" s="324">
        <f t="shared" si="335"/>
        <v>0</v>
      </c>
      <c r="AZ108" s="324">
        <f t="shared" si="335"/>
        <v>0</v>
      </c>
      <c r="BA108" s="324">
        <f t="shared" si="335"/>
        <v>0</v>
      </c>
      <c r="BB108" s="324">
        <f t="shared" si="255"/>
        <v>40777.199999999997</v>
      </c>
      <c r="BC108" s="11"/>
      <c r="BF108" s="33"/>
      <c r="BG108" s="33"/>
      <c r="BH108" s="33"/>
    </row>
    <row r="109" spans="1:82" s="16" customFormat="1" ht="12.95" customHeight="1" collapsed="1" thickTop="1" x14ac:dyDescent="0.2">
      <c r="B109" s="11"/>
      <c r="C109" s="28"/>
      <c r="D109" s="28"/>
      <c r="E109" s="88"/>
      <c r="F109" s="27"/>
      <c r="G109" s="47"/>
      <c r="H109" s="473"/>
      <c r="I109" s="312"/>
      <c r="J109" s="312"/>
      <c r="K109" s="312"/>
      <c r="L109" s="312"/>
      <c r="M109" s="312"/>
      <c r="N109" s="312"/>
      <c r="O109" s="312"/>
      <c r="P109" s="312"/>
      <c r="Q109" s="312"/>
      <c r="R109" s="312"/>
      <c r="S109" s="308"/>
      <c r="T109" s="312"/>
      <c r="U109" s="312"/>
      <c r="V109" s="312"/>
      <c r="W109" s="312"/>
      <c r="X109" s="312"/>
      <c r="Y109" s="312"/>
      <c r="Z109" s="312"/>
      <c r="AA109" s="312"/>
      <c r="AB109" s="312"/>
      <c r="AC109" s="312"/>
      <c r="AD109" s="312"/>
      <c r="AE109" s="308"/>
      <c r="AF109" s="332"/>
      <c r="AG109" s="332"/>
      <c r="AH109" s="332"/>
      <c r="AI109" s="332"/>
      <c r="AJ109" s="332"/>
      <c r="AK109" s="332"/>
      <c r="AL109" s="332"/>
      <c r="AM109" s="332"/>
      <c r="AN109" s="332"/>
      <c r="AO109" s="332"/>
      <c r="AP109" s="332"/>
      <c r="AQ109" s="308"/>
      <c r="AR109" s="332"/>
      <c r="AS109" s="332"/>
      <c r="AT109" s="332"/>
      <c r="AU109" s="332"/>
      <c r="AV109" s="332"/>
      <c r="AW109" s="332"/>
      <c r="AX109" s="332"/>
      <c r="AY109" s="332"/>
      <c r="AZ109" s="332"/>
      <c r="BA109" s="332"/>
      <c r="BB109" s="332"/>
      <c r="BC109" s="11"/>
      <c r="BF109" s="33"/>
      <c r="BG109" s="33"/>
      <c r="BH109" s="33"/>
    </row>
    <row r="110" spans="1:82" s="16" customFormat="1" ht="12.95" customHeight="1" x14ac:dyDescent="0.2">
      <c r="B110" s="26"/>
      <c r="C110" s="43" t="s">
        <v>63</v>
      </c>
      <c r="D110" s="43"/>
      <c r="E110" s="88"/>
      <c r="F110" s="27"/>
      <c r="G110" s="26"/>
      <c r="H110" s="474"/>
      <c r="I110" s="307"/>
      <c r="J110" s="307"/>
      <c r="K110" s="307"/>
      <c r="L110" s="307"/>
      <c r="M110" s="307"/>
      <c r="N110" s="307"/>
      <c r="O110" s="307"/>
      <c r="P110" s="307"/>
      <c r="Q110" s="307"/>
      <c r="R110" s="307"/>
      <c r="S110" s="308"/>
      <c r="T110" s="307"/>
      <c r="U110" s="307"/>
      <c r="V110" s="307"/>
      <c r="W110" s="307"/>
      <c r="X110" s="307"/>
      <c r="Y110" s="307"/>
      <c r="Z110" s="307"/>
      <c r="AA110" s="307"/>
      <c r="AB110" s="307"/>
      <c r="AC110" s="307"/>
      <c r="AD110" s="307"/>
      <c r="AE110" s="308"/>
      <c r="AF110" s="307"/>
      <c r="AG110" s="307"/>
      <c r="AH110" s="307"/>
      <c r="AI110" s="307"/>
      <c r="AJ110" s="307"/>
      <c r="AK110" s="307"/>
      <c r="AL110" s="307"/>
      <c r="AM110" s="307"/>
      <c r="AN110" s="307"/>
      <c r="AO110" s="307"/>
      <c r="AP110" s="307"/>
      <c r="AQ110" s="308"/>
      <c r="AR110" s="307"/>
      <c r="AS110" s="307"/>
      <c r="AT110" s="307"/>
      <c r="AU110" s="307"/>
      <c r="AV110" s="307"/>
      <c r="AW110" s="307"/>
      <c r="AX110" s="307"/>
      <c r="AY110" s="307"/>
      <c r="AZ110" s="307"/>
      <c r="BA110" s="307"/>
      <c r="BB110" s="307"/>
      <c r="BC110" s="11"/>
      <c r="BF110" s="33"/>
      <c r="BG110" s="33"/>
      <c r="BH110" s="33"/>
    </row>
    <row r="111" spans="1:82" s="34" customFormat="1" ht="12.95" customHeight="1" thickBot="1" x14ac:dyDescent="0.25">
      <c r="A111" s="16"/>
      <c r="B111" s="26"/>
      <c r="C111" s="43" t="s">
        <v>61</v>
      </c>
      <c r="D111" s="43"/>
      <c r="E111" s="91"/>
      <c r="F111" s="27"/>
      <c r="G111" s="26"/>
      <c r="H111" s="473"/>
      <c r="I111" s="312"/>
      <c r="J111" s="312"/>
      <c r="K111" s="312"/>
      <c r="L111" s="312"/>
      <c r="M111" s="312"/>
      <c r="N111" s="312"/>
      <c r="O111" s="312"/>
      <c r="P111" s="312"/>
      <c r="Q111" s="312"/>
      <c r="R111" s="312"/>
      <c r="S111" s="308"/>
      <c r="T111" s="312"/>
      <c r="U111" s="312"/>
      <c r="V111" s="312"/>
      <c r="W111" s="312"/>
      <c r="X111" s="312"/>
      <c r="Y111" s="312"/>
      <c r="Z111" s="312"/>
      <c r="AA111" s="312"/>
      <c r="AB111" s="312"/>
      <c r="AC111" s="312"/>
      <c r="AD111" s="312"/>
      <c r="AE111" s="308"/>
      <c r="AF111" s="312"/>
      <c r="AG111" s="312"/>
      <c r="AH111" s="312"/>
      <c r="AI111" s="312"/>
      <c r="AJ111" s="312"/>
      <c r="AK111" s="312"/>
      <c r="AL111" s="312"/>
      <c r="AM111" s="312"/>
      <c r="AN111" s="312"/>
      <c r="AO111" s="312"/>
      <c r="AP111" s="312"/>
      <c r="AQ111" s="308"/>
      <c r="AR111" s="312"/>
      <c r="AS111" s="312"/>
      <c r="AT111" s="312"/>
      <c r="AU111" s="312"/>
      <c r="AV111" s="312"/>
      <c r="AW111" s="312"/>
      <c r="AX111" s="312"/>
      <c r="AY111" s="312"/>
      <c r="AZ111" s="312"/>
      <c r="BA111" s="312"/>
      <c r="BB111" s="312"/>
      <c r="BC111" s="141"/>
      <c r="BF111" s="85"/>
      <c r="BG111" s="85"/>
      <c r="BH111" s="85"/>
    </row>
    <row r="112" spans="1:82" s="34" customFormat="1" ht="12.95" customHeight="1" thickTop="1" thickBot="1" x14ac:dyDescent="0.25">
      <c r="A112" s="16"/>
      <c r="B112" s="26"/>
      <c r="C112" s="26" t="s">
        <v>9</v>
      </c>
      <c r="D112" s="26"/>
      <c r="E112" s="17"/>
      <c r="F112" s="27"/>
      <c r="G112" s="26"/>
      <c r="H112" s="475">
        <f>IF(AF$108/H$97&lt;'Tabellen PO-Raad'!$C$9,0,(AF$108-'Tabellen PO-Raad'!$E$9*H$97)/12)*'Tabellen PO-Raad'!$C$9</f>
        <v>321.37591500000002</v>
      </c>
      <c r="I112" s="333">
        <f>IF(I$92&lt;&gt;"[leeg]",IF(AF$108/H$97&lt;'Tabellen PO-Raad'!$C$9,0,(AF$108-'Tabellen PO-Raad'!$E$9*H$97)/12)*'Tabellen PO-Raad'!$C$9,0)</f>
        <v>321.37591500000002</v>
      </c>
      <c r="J112" s="333">
        <f>IF(J$20&lt;&gt;"[leeg]",IF(AG$108/I$97&lt;'Tabellen PO-Raad'!$C$9,0,(AG$108-'Tabellen PO-Raad'!$E$9*I$97)/12)*'Tabellen PO-Raad'!$C$9,0)</f>
        <v>343.30029300000001</v>
      </c>
      <c r="K112" s="333">
        <f>IF(K$20&lt;&gt;"[leeg]",IF(AH$108/J$97&lt;'Tabellen PO-Raad'!$C$9,0,(AH$108-'Tabellen PO-Raad'!$E$9*J$97)/12)*'Tabellen PO-Raad'!$C$9,0)</f>
        <v>0</v>
      </c>
      <c r="L112" s="333">
        <f>IF(L$20&lt;&gt;"[leeg]",IF(AI$108/K$97&lt;'Tabellen PO-Raad'!$C$9,0,(AI$108-'Tabellen PO-Raad'!$E$9*K$97)/12)*'Tabellen PO-Raad'!$C$9,0)</f>
        <v>0</v>
      </c>
      <c r="M112" s="333">
        <f>IF(M$20&lt;&gt;"[leeg]",IF(AJ$108/L$97&lt;'Tabellen PO-Raad'!$C$9,0,(AJ$108-'Tabellen PO-Raad'!$E$9*L$97)/12)*'Tabellen PO-Raad'!$C$9,0)</f>
        <v>0</v>
      </c>
      <c r="N112" s="333">
        <f>IF(N$20&lt;&gt;"[leeg]",IF(AK$108/M$97&lt;'Tabellen PO-Raad'!$C$9,0,(AK$108-'Tabellen PO-Raad'!$E$9*M$97)/12)*'Tabellen PO-Raad'!$C$9,0)</f>
        <v>0</v>
      </c>
      <c r="O112" s="333">
        <f>IF(O$20&lt;&gt;"[leeg]",IF(AL$108/N$97&lt;'Tabellen PO-Raad'!$C$9,0,(AL$108-'Tabellen PO-Raad'!$E$9*N$97)/12)*'Tabellen PO-Raad'!$C$9,0)</f>
        <v>0</v>
      </c>
      <c r="P112" s="333">
        <f>IF(P$20&lt;&gt;"[leeg]",IF(AM$108/O$97&lt;'Tabellen PO-Raad'!$C$9,0,(AM$108-'Tabellen PO-Raad'!$E$9*O$97)/12)*'Tabellen PO-Raad'!$C$9,0)</f>
        <v>0</v>
      </c>
      <c r="Q112" s="333">
        <f>IF(Q$20&lt;&gt;"[leeg]",IF(AN$108/P$97&lt;'Tabellen PO-Raad'!$C$9,0,(AN$108-'Tabellen PO-Raad'!$E$9*P$97)/12)*'Tabellen PO-Raad'!$C$9,0)</f>
        <v>0</v>
      </c>
      <c r="R112" s="333">
        <f t="shared" ref="R112:R122" si="336">H112*H$26+I112*I$26+J112*J$26+K112*K$26+L112*L$26+M112*M$26+N112*N$26+O112*O$26+P112*P$26+Q112*Q$26</f>
        <v>321.37591500000002</v>
      </c>
      <c r="S112" s="308"/>
      <c r="T112" s="333">
        <f>IF(AR$108/T$97&lt;'Tabellen PO-Raad'!$C$9,0,(AR$108-'Tabellen PO-Raad'!$E$9*T$97)/12)*'Tabellen PO-Raad'!$C$9</f>
        <v>446.68625399999996</v>
      </c>
      <c r="U112" s="333">
        <f>IF(AS$108/U$97&lt;'Tabellen PO-Raad'!$C$9,0,(AS$108-'Tabellen PO-Raad'!$E$9*U$97)/12)*'Tabellen PO-Raad'!$C$9</f>
        <v>477.38155499999999</v>
      </c>
      <c r="V112" s="333">
        <f>IF(V$20&lt;&gt;"[leeg]",IF(AS$108/U$97&lt;'Tabellen PO-Raad'!$C$9,0,(AS$108-'Tabellen PO-Raad'!$E$9*U$97)/12)*'Tabellen PO-Raad'!$C$9,0)</f>
        <v>477.38155499999999</v>
      </c>
      <c r="W112" s="333">
        <f>IF(W$20&lt;&gt;"[leeg]",IF(AT$108/V$97&lt;'Tabellen PO-Raad'!$C$9,0,(AT$108-'Tabellen PO-Raad'!$E$9*V$97)/12)*'Tabellen PO-Raad'!$C$9,0)</f>
        <v>0</v>
      </c>
      <c r="X112" s="333">
        <f>IF(X$20&lt;&gt;"[leeg]",IF(AU$108/W$97&lt;'Tabellen PO-Raad'!$C$9,0,(AU$108-'Tabellen PO-Raad'!$E$9*W$97)/12)*'Tabellen PO-Raad'!$C$9,0)</f>
        <v>0</v>
      </c>
      <c r="Y112" s="333">
        <f>IF(Y$20&lt;&gt;"[leeg]",IF(AV$108/X$97&lt;'Tabellen PO-Raad'!$C$9,0,(AV$108-'Tabellen PO-Raad'!$E$9*X$97)/12)*'Tabellen PO-Raad'!$C$9,0)</f>
        <v>0</v>
      </c>
      <c r="Z112" s="333">
        <f>IF(Z$20&lt;&gt;"[leeg]",IF(AW$108/Y$97&lt;'Tabellen PO-Raad'!$C$9,0,(AW$108-'Tabellen PO-Raad'!$E$9*Y$97)/12)*'Tabellen PO-Raad'!$C$9,0)</f>
        <v>0</v>
      </c>
      <c r="AA112" s="333">
        <f>IF(AA$20&lt;&gt;"[leeg]",IF(AX$108/Z$97&lt;'Tabellen PO-Raad'!$C$9,0,(AX$108-'Tabellen PO-Raad'!$E$9*Z$97)/12)*'Tabellen PO-Raad'!$C$9,0)</f>
        <v>0</v>
      </c>
      <c r="AB112" s="333">
        <f>IF(AB$20&lt;&gt;"[leeg]",IF(AY$108/AA$97&lt;'Tabellen PO-Raad'!$C$9,0,(AY$108-'Tabellen PO-Raad'!$E$9*AA$97)/12)*'Tabellen PO-Raad'!$C$9,0)</f>
        <v>0</v>
      </c>
      <c r="AC112" s="333">
        <f>IF(AC$20&lt;&gt;"[leeg]",IF(AZ$108/AB$97&lt;'Tabellen PO-Raad'!$C$9,0,(AZ$108-'Tabellen PO-Raad'!$E$9*AB$97)/12)*'Tabellen PO-Raad'!$C$9,0)</f>
        <v>0</v>
      </c>
      <c r="AD112" s="333">
        <f t="shared" ref="AD112:AD122" si="337">T112*T$26+U112*U$26+V112*V$26+W112*W$26+X112*X$26+Y112*Y$26+Z112*Z$26+AA112*AA$26+AB112*AB$26+AC112*AC$26</f>
        <v>477.38155499999999</v>
      </c>
      <c r="AE112" s="308"/>
      <c r="AF112" s="334">
        <f t="shared" ref="AF112:AF117" si="338">H112*12</f>
        <v>3856.51098</v>
      </c>
      <c r="AG112" s="334">
        <f t="shared" ref="AG112:AG117" si="339">I112*12</f>
        <v>3856.51098</v>
      </c>
      <c r="AH112" s="334">
        <f t="shared" ref="AH112:AH117" si="340">J112*12</f>
        <v>4119.6035160000001</v>
      </c>
      <c r="AI112" s="334">
        <f t="shared" ref="AI112:AI117" si="341">K112*12</f>
        <v>0</v>
      </c>
      <c r="AJ112" s="334">
        <f t="shared" ref="AJ112:AJ117" si="342">L112*12</f>
        <v>0</v>
      </c>
      <c r="AK112" s="334">
        <f t="shared" ref="AK112:AK117" si="343">M112*12</f>
        <v>0</v>
      </c>
      <c r="AL112" s="334">
        <f t="shared" ref="AL112:AL117" si="344">N112*12</f>
        <v>0</v>
      </c>
      <c r="AM112" s="334">
        <f t="shared" ref="AM112:AM117" si="345">O112*12</f>
        <v>0</v>
      </c>
      <c r="AN112" s="334">
        <f t="shared" ref="AN112:AN117" si="346">P112*12</f>
        <v>0</v>
      </c>
      <c r="AO112" s="334">
        <f t="shared" ref="AO112:AO117" si="347">Q112*12</f>
        <v>0</v>
      </c>
      <c r="AP112" s="334">
        <f t="shared" ref="AP112:AP122" si="348">AF112*AF$26+AG112*AG$26+AH112*AH$26+AI112*AI$26+AJ112*AJ$26+AK112*AK$26+AL112*AL$26+AM112*AM$26+AN112*AN$26+AO112*AO$26</f>
        <v>3856.51098</v>
      </c>
      <c r="AQ112" s="308"/>
      <c r="AR112" s="334">
        <f t="shared" ref="AR112:AR114" si="349">T112*12</f>
        <v>5360.2350479999996</v>
      </c>
      <c r="AS112" s="334">
        <f t="shared" ref="AS112:AS117" si="350">U112*12</f>
        <v>5728.5786600000001</v>
      </c>
      <c r="AT112" s="334">
        <f t="shared" ref="AT112:AT117" si="351">V112*12</f>
        <v>5728.5786600000001</v>
      </c>
      <c r="AU112" s="334">
        <f t="shared" ref="AU112:AU117" si="352">W112*12</f>
        <v>0</v>
      </c>
      <c r="AV112" s="334">
        <f t="shared" ref="AV112:AV117" si="353">X112*12</f>
        <v>0</v>
      </c>
      <c r="AW112" s="334">
        <f t="shared" ref="AW112:AW117" si="354">Y112*12</f>
        <v>0</v>
      </c>
      <c r="AX112" s="334">
        <f t="shared" ref="AX112:AX117" si="355">Z112*12</f>
        <v>0</v>
      </c>
      <c r="AY112" s="334">
        <f t="shared" ref="AY112:AY117" si="356">AA112*12</f>
        <v>0</v>
      </c>
      <c r="AZ112" s="334">
        <f t="shared" ref="AZ112:AZ117" si="357">AB112*12</f>
        <v>0</v>
      </c>
      <c r="BA112" s="334">
        <f t="shared" ref="BA112:BA117" si="358">AC112*12</f>
        <v>0</v>
      </c>
      <c r="BB112" s="334">
        <f t="shared" ref="BB112:BB122" si="359">AR112*AR$26+AS112*AS$26+AT112*AT$26+AU112*AU$26+AV112*AV$26+AW112*AW$26+AX112*AX$26+AY112*AY$26+AZ112*AZ$26+BA112*BA$26</f>
        <v>5728.5786600000001</v>
      </c>
      <c r="BC112" s="141"/>
      <c r="BF112" s="85"/>
      <c r="BG112" s="85"/>
      <c r="BH112" s="85"/>
    </row>
    <row r="113" spans="1:60" s="16" customFormat="1" ht="12.95" customHeight="1" thickTop="1" thickBot="1" x14ac:dyDescent="0.25">
      <c r="A113" s="34"/>
      <c r="B113" s="26"/>
      <c r="C113" s="26" t="s">
        <v>36</v>
      </c>
      <c r="D113" s="26"/>
      <c r="E113" s="17"/>
      <c r="F113" s="27"/>
      <c r="G113" s="26"/>
      <c r="H113" s="475">
        <f>IF(AF$108/H$97&lt;'Tabellen PO-Raad'!$E$10,0,(AF$108-'Tabellen PO-Raad'!$E$10*H$97)/12)*'Tabellen PO-Raad'!$C$10</f>
        <v>7.1850799999999992</v>
      </c>
      <c r="I113" s="333">
        <f>IF(I$92&lt;&gt;"[leeg]",IF(AF$108/H$97&lt;'Tabellen PO-Raad'!$E$10,0,(AF$108-'Tabellen PO-Raad'!$E$10*H$97)/12)*'Tabellen PO-Raad'!$C$10,0)</f>
        <v>7.1850799999999992</v>
      </c>
      <c r="J113" s="333">
        <f>IF(J$92&lt;&gt;"[leeg]",IF(AG$108/I$97&lt;'Tabellen PO-Raad'!$E$10,0,(AG$108-'Tabellen PO-Raad'!$E$10*I$97)/12)*'Tabellen PO-Raad'!$C$10,0)</f>
        <v>7.8137360000000005</v>
      </c>
      <c r="K113" s="333">
        <f>IF(K$92&lt;&gt;"[leeg]",IF(AH$108/J$97&lt;'Tabellen PO-Raad'!$E$10,0,(AH$108-'Tabellen PO-Raad'!$E$10*J$97)/12)*'Tabellen PO-Raad'!$C$10,0)</f>
        <v>0</v>
      </c>
      <c r="L113" s="333">
        <f>IF(L$92&lt;&gt;"[leeg]",IF(AI$108/K$97&lt;'Tabellen PO-Raad'!$E$10,0,(AI$108-'Tabellen PO-Raad'!$E$10*K$97)/12)*'Tabellen PO-Raad'!$C$10,0)</f>
        <v>0</v>
      </c>
      <c r="M113" s="333">
        <f>IF(M$92&lt;&gt;"[leeg]",IF(AJ$108/L$97&lt;'Tabellen PO-Raad'!$E$10,0,(AJ$108-'Tabellen PO-Raad'!$E$10*L$97)/12)*'Tabellen PO-Raad'!$C$10,0)</f>
        <v>0</v>
      </c>
      <c r="N113" s="333">
        <f>IF(N$92&lt;&gt;"[leeg]",IF(AK$108/M$97&lt;'Tabellen PO-Raad'!$E$10,0,(AK$108-'Tabellen PO-Raad'!$E$10*M$97)/12)*'Tabellen PO-Raad'!$C$10,0)</f>
        <v>0</v>
      </c>
      <c r="O113" s="333">
        <f>IF(O$92&lt;&gt;"[leeg]",IF(AL$108/N$97&lt;'Tabellen PO-Raad'!$E$10,0,(AL$108-'Tabellen PO-Raad'!$E$10*N$97)/12)*'Tabellen PO-Raad'!$C$10,0)</f>
        <v>0</v>
      </c>
      <c r="P113" s="333">
        <f>IF(P$92&lt;&gt;"[leeg]",IF(AM$108/O$97&lt;'Tabellen PO-Raad'!$E$10,0,(AM$108-'Tabellen PO-Raad'!$E$10*O$97)/12)*'Tabellen PO-Raad'!$C$10,0)</f>
        <v>0</v>
      </c>
      <c r="Q113" s="333">
        <f>IF(Q$92&lt;&gt;"[leeg]",IF(AN$108/P$97&lt;'Tabellen PO-Raad'!$E$10,0,(AN$108-'Tabellen PO-Raad'!$E$10*P$97)/12)*'Tabellen PO-Raad'!$C$10,0)</f>
        <v>0</v>
      </c>
      <c r="R113" s="333">
        <f t="shared" si="336"/>
        <v>7.1850799999999992</v>
      </c>
      <c r="S113" s="308"/>
      <c r="T113" s="333">
        <f>IF(AR$108/T$97&lt;'Tabellen PO-Raad'!$E$10,0,(AR$108-'Tabellen PO-Raad'!$E$10*T$97)/12)*'Tabellen PO-Raad'!$C$10</f>
        <v>9.9662079999999982</v>
      </c>
      <c r="U113" s="333">
        <f>IF(AS$108/U$97&lt;'Tabellen PO-Raad'!$E$10,0,(AS$108-'Tabellen PO-Raad'!$E$10*U$97)/12)*'Tabellen PO-Raad'!$C$10</f>
        <v>10.846359999999999</v>
      </c>
      <c r="V113" s="333">
        <f>IF(V$92&lt;&gt;"[leeg]",IF(AS$108/U$97&lt;'Tabellen PO-Raad'!$E$10,0,(AS$108-'Tabellen PO-Raad'!$E$10*U$97)/12)*'Tabellen PO-Raad'!$C$10,0)</f>
        <v>10.846359999999999</v>
      </c>
      <c r="W113" s="333">
        <f>IF(W$92&lt;&gt;"[leeg]",IF(AT$108/V$97&lt;'Tabellen PO-Raad'!$E$10,0,(AT$108-'Tabellen PO-Raad'!$E$10*V$97)/12)*'Tabellen PO-Raad'!$C$10,0)</f>
        <v>0</v>
      </c>
      <c r="X113" s="333">
        <f>IF(X$92&lt;&gt;"[leeg]",IF(AU$108/W$97&lt;'Tabellen PO-Raad'!$E$10,0,(AU$108-'Tabellen PO-Raad'!$E$10*W$97)/12)*'Tabellen PO-Raad'!$C$10,0)</f>
        <v>0</v>
      </c>
      <c r="Y113" s="333">
        <f>IF(Y$92&lt;&gt;"[leeg]",IF(AV$108/X$97&lt;'Tabellen PO-Raad'!$E$10,0,(AV$108-'Tabellen PO-Raad'!$E$10*X$97)/12)*'Tabellen PO-Raad'!$C$10,0)</f>
        <v>0</v>
      </c>
      <c r="Z113" s="333">
        <f>IF(Z$92&lt;&gt;"[leeg]",IF(AW$108/Y$97&lt;'Tabellen PO-Raad'!$E$10,0,(AW$108-'Tabellen PO-Raad'!$E$10*Y$97)/12)*'Tabellen PO-Raad'!$C$10,0)</f>
        <v>0</v>
      </c>
      <c r="AA113" s="333">
        <f>IF(AA$92&lt;&gt;"[leeg]",IF(AX$108/Z$97&lt;'Tabellen PO-Raad'!$E$10,0,(AX$108-'Tabellen PO-Raad'!$E$10*Z$97)/12)*'Tabellen PO-Raad'!$C$10,0)</f>
        <v>0</v>
      </c>
      <c r="AB113" s="333">
        <f>IF(AB$92&lt;&gt;"[leeg]",IF(AY$108/AA$97&lt;'Tabellen PO-Raad'!$E$10,0,(AY$108-'Tabellen PO-Raad'!$E$10*AA$97)/12)*'Tabellen PO-Raad'!$C$10,0)</f>
        <v>0</v>
      </c>
      <c r="AC113" s="333">
        <f>IF(AC$92&lt;&gt;"[leeg]",IF(AZ$108/AB$97&lt;'Tabellen PO-Raad'!$E$10,0,(AZ$108-'Tabellen PO-Raad'!$E$10*AB$97)/12)*'Tabellen PO-Raad'!$C$10,0)</f>
        <v>0</v>
      </c>
      <c r="AD113" s="333">
        <f t="shared" si="337"/>
        <v>10.846359999999999</v>
      </c>
      <c r="AE113" s="308"/>
      <c r="AF113" s="334">
        <f t="shared" si="338"/>
        <v>86.220959999999991</v>
      </c>
      <c r="AG113" s="334">
        <f t="shared" si="339"/>
        <v>86.220959999999991</v>
      </c>
      <c r="AH113" s="334">
        <f t="shared" si="340"/>
        <v>93.764832000000013</v>
      </c>
      <c r="AI113" s="334">
        <f t="shared" si="341"/>
        <v>0</v>
      </c>
      <c r="AJ113" s="334">
        <f t="shared" si="342"/>
        <v>0</v>
      </c>
      <c r="AK113" s="334">
        <f t="shared" si="343"/>
        <v>0</v>
      </c>
      <c r="AL113" s="334">
        <f t="shared" si="344"/>
        <v>0</v>
      </c>
      <c r="AM113" s="334">
        <f t="shared" si="345"/>
        <v>0</v>
      </c>
      <c r="AN113" s="334">
        <f t="shared" si="346"/>
        <v>0</v>
      </c>
      <c r="AO113" s="334">
        <f t="shared" si="347"/>
        <v>0</v>
      </c>
      <c r="AP113" s="334">
        <f t="shared" si="348"/>
        <v>86.220959999999991</v>
      </c>
      <c r="AQ113" s="308"/>
      <c r="AR113" s="334">
        <f t="shared" si="349"/>
        <v>119.59449599999998</v>
      </c>
      <c r="AS113" s="334">
        <f t="shared" si="350"/>
        <v>130.15631999999999</v>
      </c>
      <c r="AT113" s="334">
        <f t="shared" si="351"/>
        <v>130.15631999999999</v>
      </c>
      <c r="AU113" s="334">
        <f t="shared" si="352"/>
        <v>0</v>
      </c>
      <c r="AV113" s="334">
        <f t="shared" si="353"/>
        <v>0</v>
      </c>
      <c r="AW113" s="334">
        <f t="shared" si="354"/>
        <v>0</v>
      </c>
      <c r="AX113" s="334">
        <f t="shared" si="355"/>
        <v>0</v>
      </c>
      <c r="AY113" s="334">
        <f t="shared" si="356"/>
        <v>0</v>
      </c>
      <c r="AZ113" s="334">
        <f t="shared" si="357"/>
        <v>0</v>
      </c>
      <c r="BA113" s="334">
        <f t="shared" si="358"/>
        <v>0</v>
      </c>
      <c r="BB113" s="334">
        <f t="shared" si="359"/>
        <v>130.15631999999999</v>
      </c>
      <c r="BC113" s="11"/>
      <c r="BF113" s="33"/>
      <c r="BG113" s="33"/>
      <c r="BH113" s="33"/>
    </row>
    <row r="114" spans="1:60" s="16" customFormat="1" ht="12.95" customHeight="1" thickTop="1" thickBot="1" x14ac:dyDescent="0.25">
      <c r="A114" s="34"/>
      <c r="B114" s="43"/>
      <c r="C114" s="26" t="s">
        <v>45</v>
      </c>
      <c r="D114" s="26"/>
      <c r="E114" s="17"/>
      <c r="F114" s="50"/>
      <c r="G114" s="26"/>
      <c r="H114" s="475">
        <f>'Loonkosten uitgebreid'!AF$108/12*'Tabellen PO-Raad'!$C$11</f>
        <v>0</v>
      </c>
      <c r="I114" s="333">
        <f>IF(I$92&lt;&gt;"[leeg]",'Loonkosten uitgebreid'!AF$108/12*'Tabellen PO-Raad'!$C$11,0)</f>
        <v>0</v>
      </c>
      <c r="J114" s="333">
        <f>IF(J$92&lt;&gt;"[leeg]",'Loonkosten uitgebreid'!AG$108/12*'Tabellen PO-Raad'!$C$11,0)</f>
        <v>0</v>
      </c>
      <c r="K114" s="333">
        <f>IF(K$92&lt;&gt;"[leeg]",'Loonkosten uitgebreid'!AH$108/12*'Tabellen PO-Raad'!$C$11,0)</f>
        <v>0</v>
      </c>
      <c r="L114" s="333">
        <f>IF(L$92&lt;&gt;"[leeg]",'Loonkosten uitgebreid'!AI$108/12*'Tabellen PO-Raad'!$C$11,0)</f>
        <v>0</v>
      </c>
      <c r="M114" s="333">
        <f>IF(M$92&lt;&gt;"[leeg]",'Loonkosten uitgebreid'!AJ$108/12*'Tabellen PO-Raad'!$C$11,0)</f>
        <v>0</v>
      </c>
      <c r="N114" s="333">
        <f>IF(N$92&lt;&gt;"[leeg]",'Loonkosten uitgebreid'!AK$108/12*'Tabellen PO-Raad'!$C$11,0)</f>
        <v>0</v>
      </c>
      <c r="O114" s="333">
        <f>IF(O$92&lt;&gt;"[leeg]",'Loonkosten uitgebreid'!AL$108/12*'Tabellen PO-Raad'!$C$11,0)</f>
        <v>0</v>
      </c>
      <c r="P114" s="333">
        <f>IF(P$92&lt;&gt;"[leeg]",'Loonkosten uitgebreid'!AM$108/12*'Tabellen PO-Raad'!$C$11,0)</f>
        <v>0</v>
      </c>
      <c r="Q114" s="333">
        <f>IF(Q$92&lt;&gt;"[leeg]",'Loonkosten uitgebreid'!AN$108/12*'Tabellen PO-Raad'!$C$11,0)</f>
        <v>0</v>
      </c>
      <c r="R114" s="333">
        <f t="shared" si="336"/>
        <v>0</v>
      </c>
      <c r="S114" s="308"/>
      <c r="T114" s="333">
        <f>'Loonkosten uitgebreid'!AR$108/12*'Tabellen PO-Raad'!$C$11</f>
        <v>0</v>
      </c>
      <c r="U114" s="333">
        <f>'Loonkosten uitgebreid'!AS$108/12*'Tabellen PO-Raad'!$C$11</f>
        <v>0</v>
      </c>
      <c r="V114" s="333">
        <f>IF(V$92&lt;&gt;"[leeg]",'Loonkosten uitgebreid'!AS$108/12*'Tabellen PO-Raad'!$C$11,0)</f>
        <v>0</v>
      </c>
      <c r="W114" s="333">
        <f>IF(W$92&lt;&gt;"[leeg]",'Loonkosten uitgebreid'!AT$108/12*'Tabellen PO-Raad'!$C$11,0)</f>
        <v>0</v>
      </c>
      <c r="X114" s="333">
        <f>IF(X$92&lt;&gt;"[leeg]",'Loonkosten uitgebreid'!AU$108/12*'Tabellen PO-Raad'!$C$11,0)</f>
        <v>0</v>
      </c>
      <c r="Y114" s="333">
        <f>IF(Y$92&lt;&gt;"[leeg]",'Loonkosten uitgebreid'!AV$108/12*'Tabellen PO-Raad'!$C$11,0)</f>
        <v>0</v>
      </c>
      <c r="Z114" s="333">
        <f>IF(Z$92&lt;&gt;"[leeg]",'Loonkosten uitgebreid'!AW$108/12*'Tabellen PO-Raad'!$C$11,0)</f>
        <v>0</v>
      </c>
      <c r="AA114" s="333">
        <f>IF(AA$92&lt;&gt;"[leeg]",'Loonkosten uitgebreid'!AX$108/12*'Tabellen PO-Raad'!$C$11,0)</f>
        <v>0</v>
      </c>
      <c r="AB114" s="333">
        <f>IF(AB$92&lt;&gt;"[leeg]",'Loonkosten uitgebreid'!AY$108/12*'Tabellen PO-Raad'!$C$11,0)</f>
        <v>0</v>
      </c>
      <c r="AC114" s="333">
        <f>IF(AC$92&lt;&gt;"[leeg]",'Loonkosten uitgebreid'!AZ$108/12*'Tabellen PO-Raad'!$C$11,0)</f>
        <v>0</v>
      </c>
      <c r="AD114" s="333">
        <f t="shared" si="337"/>
        <v>0</v>
      </c>
      <c r="AE114" s="308"/>
      <c r="AF114" s="334">
        <f t="shared" si="338"/>
        <v>0</v>
      </c>
      <c r="AG114" s="334">
        <f t="shared" si="339"/>
        <v>0</v>
      </c>
      <c r="AH114" s="334">
        <f t="shared" si="340"/>
        <v>0</v>
      </c>
      <c r="AI114" s="334">
        <f t="shared" si="341"/>
        <v>0</v>
      </c>
      <c r="AJ114" s="334">
        <f t="shared" si="342"/>
        <v>0</v>
      </c>
      <c r="AK114" s="334">
        <f t="shared" si="343"/>
        <v>0</v>
      </c>
      <c r="AL114" s="334">
        <f t="shared" si="344"/>
        <v>0</v>
      </c>
      <c r="AM114" s="334">
        <f t="shared" si="345"/>
        <v>0</v>
      </c>
      <c r="AN114" s="334">
        <f t="shared" si="346"/>
        <v>0</v>
      </c>
      <c r="AO114" s="334">
        <f t="shared" si="347"/>
        <v>0</v>
      </c>
      <c r="AP114" s="334">
        <f t="shared" si="348"/>
        <v>0</v>
      </c>
      <c r="AQ114" s="308"/>
      <c r="AR114" s="334">
        <f t="shared" si="349"/>
        <v>0</v>
      </c>
      <c r="AS114" s="334">
        <f t="shared" si="350"/>
        <v>0</v>
      </c>
      <c r="AT114" s="334">
        <f t="shared" si="351"/>
        <v>0</v>
      </c>
      <c r="AU114" s="334">
        <f t="shared" si="352"/>
        <v>0</v>
      </c>
      <c r="AV114" s="334">
        <f t="shared" si="353"/>
        <v>0</v>
      </c>
      <c r="AW114" s="334">
        <f t="shared" si="354"/>
        <v>0</v>
      </c>
      <c r="AX114" s="334">
        <f t="shared" si="355"/>
        <v>0</v>
      </c>
      <c r="AY114" s="334">
        <f t="shared" si="356"/>
        <v>0</v>
      </c>
      <c r="AZ114" s="334">
        <f t="shared" si="357"/>
        <v>0</v>
      </c>
      <c r="BA114" s="334">
        <f t="shared" si="358"/>
        <v>0</v>
      </c>
      <c r="BB114" s="334">
        <f t="shared" si="359"/>
        <v>0</v>
      </c>
      <c r="BC114" s="11"/>
      <c r="BF114" s="33"/>
      <c r="BG114" s="33"/>
      <c r="BH114" s="33"/>
    </row>
    <row r="115" spans="1:60" s="16" customFormat="1" ht="12.95" customHeight="1" thickTop="1" thickBot="1" x14ac:dyDescent="0.25">
      <c r="B115" s="43"/>
      <c r="C115" s="26" t="s">
        <v>92</v>
      </c>
      <c r="D115" s="26"/>
      <c r="E115" s="17"/>
      <c r="F115" s="27"/>
      <c r="G115" s="26"/>
      <c r="H115" s="475">
        <f>IF('Inkomensgevolgen uitgebreid'!D58&gt;'Tabellen PO-Raad'!$G$12/12,'Tabellen PO-Raad'!$G$12/12,'Inkomensgevolgen uitgebreid'!D58)*('Tabellen PO-Raad'!$C$12+'Tabellen PO-Raad'!$C$13)</f>
        <v>181.21841722050002</v>
      </c>
      <c r="I115" s="333">
        <f>IF(I$92&lt;&gt;"[leeg]",IF('Inkomensgevolgen uitgebreid'!E58&gt;'Tabellen PO-Raad'!$G$12/12,'Tabellen PO-Raad'!$G$12/12,'Inkomensgevolgen uitgebreid'!E58)*('Tabellen PO-Raad'!$C$12+'Tabellen PO-Raad'!$C$13),0)</f>
        <v>190.52477122050001</v>
      </c>
      <c r="J115" s="333">
        <f>IF(J$92&lt;&gt;"[leeg]",IF('Inkomensgevolgen uitgebreid'!F58&gt;'Tabellen PO-Raad'!$G$12/12,'Tabellen PO-Raad'!$G$12/12,'Inkomensgevolgen uitgebreid'!F58)*('Tabellen PO-Raad'!$C$12+'Tabellen PO-Raad'!$C$13),0)</f>
        <v>200.04288614110001</v>
      </c>
      <c r="K115" s="333">
        <f>IF(K$92&lt;&gt;"[leeg]",IF('Inkomensgevolgen uitgebreid'!G58&gt;'Tabellen PO-Raad'!$G$12/12,'Tabellen PO-Raad'!$G$12/12,'Inkomensgevolgen uitgebreid'!G58)*('Tabellen PO-Raad'!$C$12+'Tabellen PO-Raad'!$C$13),0)</f>
        <v>0</v>
      </c>
      <c r="L115" s="333">
        <f>IF(L$92&lt;&gt;"[leeg]",IF('Inkomensgevolgen uitgebreid'!H58&gt;'Tabellen PO-Raad'!$G$12/12,'Tabellen PO-Raad'!$G$12/12,'Inkomensgevolgen uitgebreid'!H58)*('Tabellen PO-Raad'!$C$12+'Tabellen PO-Raad'!$C$13),0)</f>
        <v>0</v>
      </c>
      <c r="M115" s="333">
        <f>IF(M$92&lt;&gt;"[leeg]",IF('Inkomensgevolgen uitgebreid'!I58&gt;'Tabellen PO-Raad'!$G$12/12,'Tabellen PO-Raad'!$G$12/12,'Inkomensgevolgen uitgebreid'!I58)*('Tabellen PO-Raad'!$C$12+'Tabellen PO-Raad'!$C$13),0)</f>
        <v>0</v>
      </c>
      <c r="N115" s="333">
        <f>IF(N$92&lt;&gt;"[leeg]",IF('Inkomensgevolgen uitgebreid'!J58&gt;'Tabellen PO-Raad'!$G$12/12,'Tabellen PO-Raad'!$G$12/12,'Inkomensgevolgen uitgebreid'!J58)*('Tabellen PO-Raad'!$C$12+'Tabellen PO-Raad'!$C$13),0)</f>
        <v>0</v>
      </c>
      <c r="O115" s="333">
        <f>IF(O$92&lt;&gt;"[leeg]",IF('Inkomensgevolgen uitgebreid'!K58&gt;'Tabellen PO-Raad'!$G$12/12,'Tabellen PO-Raad'!$G$12/12,'Inkomensgevolgen uitgebreid'!K58)*('Tabellen PO-Raad'!$C$12+'Tabellen PO-Raad'!$C$13),0)</f>
        <v>0</v>
      </c>
      <c r="P115" s="333">
        <f>IF(P$92&lt;&gt;"[leeg]",IF('Inkomensgevolgen uitgebreid'!L58&gt;'Tabellen PO-Raad'!$G$12/12,'Tabellen PO-Raad'!$G$12/12,'Inkomensgevolgen uitgebreid'!L58)*('Tabellen PO-Raad'!$C$12+'Tabellen PO-Raad'!$C$13),0)</f>
        <v>0</v>
      </c>
      <c r="Q115" s="333">
        <f>IF(Q$92&lt;&gt;"[leeg]",IF('Inkomensgevolgen uitgebreid'!M58&gt;'Tabellen PO-Raad'!$G$12/12,'Tabellen PO-Raad'!$G$12/12,'Inkomensgevolgen uitgebreid'!M58)*('Tabellen PO-Raad'!$C$12+'Tabellen PO-Raad'!$C$13),0)</f>
        <v>0</v>
      </c>
      <c r="R115" s="333">
        <f t="shared" si="336"/>
        <v>190.52477122050001</v>
      </c>
      <c r="S115" s="308"/>
      <c r="T115" s="333">
        <f>IF('Inkomensgevolgen uitgebreid'!O58&gt;'Tabellen PO-Raad'!$G$12/12,'Tabellen PO-Raad'!$G$12/12,'Inkomensgevolgen uitgebreid'!O58)*('Tabellen PO-Raad'!$C$12+'Tabellen PO-Raad'!$C$13)</f>
        <v>252.44888738580002</v>
      </c>
      <c r="U115" s="333">
        <f>IF(U$92&lt;&gt;"[leeg]",IF('Inkomensgevolgen uitgebreid'!P58&gt;'Tabellen PO-Raad'!$G$12/12,'Tabellen PO-Raad'!$G$12/12,'Inkomensgevolgen uitgebreid'!P58)*('Tabellen PO-Raad'!$C$12+'Tabellen PO-Raad'!$C$13),0)</f>
        <v>251.32705664849999</v>
      </c>
      <c r="V115" s="333">
        <f>IF(V$92&lt;&gt;"[leeg]",IF('Inkomensgevolgen uitgebreid'!R58&gt;'Tabellen PO-Raad'!$G$12/12,'Tabellen PO-Raad'!$G$12/12,'Inkomensgevolgen uitgebreid'!R58)*('Tabellen PO-Raad'!$C$12+'Tabellen PO-Raad'!$C$13),0)</f>
        <v>0</v>
      </c>
      <c r="W115" s="333">
        <f>IF(W$92&lt;&gt;"[leeg]",IF('Inkomensgevolgen uitgebreid'!S58&gt;'Tabellen PO-Raad'!$G$12/12,'Tabellen PO-Raad'!$G$12/12,'Inkomensgevolgen uitgebreid'!S58)*('Tabellen PO-Raad'!$C$12+'Tabellen PO-Raad'!$C$13),0)</f>
        <v>0</v>
      </c>
      <c r="X115" s="333">
        <f>IF(X$92&lt;&gt;"[leeg]",IF('Inkomensgevolgen uitgebreid'!T58&gt;'Tabellen PO-Raad'!$G$12/12,'Tabellen PO-Raad'!$G$12/12,'Inkomensgevolgen uitgebreid'!T58)*('Tabellen PO-Raad'!$C$12+'Tabellen PO-Raad'!$C$13),0)</f>
        <v>0</v>
      </c>
      <c r="Y115" s="333">
        <f>IF(Y$92&lt;&gt;"[leeg]",IF('Inkomensgevolgen uitgebreid'!U58&gt;'Tabellen PO-Raad'!$G$12/12,'Tabellen PO-Raad'!$G$12/12,'Inkomensgevolgen uitgebreid'!U58)*('Tabellen PO-Raad'!$C$12+'Tabellen PO-Raad'!$C$13),0)</f>
        <v>0</v>
      </c>
      <c r="Z115" s="333">
        <f>IF(Z$92&lt;&gt;"[leeg]",IF('Inkomensgevolgen uitgebreid'!V58&gt;'Tabellen PO-Raad'!$G$12/12,'Tabellen PO-Raad'!$G$12/12,'Inkomensgevolgen uitgebreid'!V58)*('Tabellen PO-Raad'!$C$12+'Tabellen PO-Raad'!$C$13),0)</f>
        <v>0</v>
      </c>
      <c r="AA115" s="333">
        <f>IF(AA$92&lt;&gt;"[leeg]",IF('Inkomensgevolgen uitgebreid'!W58&gt;'Tabellen PO-Raad'!$G$12/12,'Tabellen PO-Raad'!$G$12/12,'Inkomensgevolgen uitgebreid'!W58)*('Tabellen PO-Raad'!$C$12+'Tabellen PO-Raad'!$C$13),0)</f>
        <v>0</v>
      </c>
      <c r="AB115" s="333">
        <f>IF(AB$92&lt;&gt;"[leeg]",IF('Inkomensgevolgen uitgebreid'!X58&gt;'Tabellen PO-Raad'!$G$12/12,'Tabellen PO-Raad'!$G$12/12,'Inkomensgevolgen uitgebreid'!X58)*('Tabellen PO-Raad'!$C$12+'Tabellen PO-Raad'!$C$13),0)</f>
        <v>0</v>
      </c>
      <c r="AC115" s="333">
        <f>IF(AC$92&lt;&gt;"[leeg]",IF('Inkomensgevolgen uitgebreid'!Y58&gt;'Tabellen PO-Raad'!$G$12/12,'Tabellen PO-Raad'!$G$12/12,'Inkomensgevolgen uitgebreid'!Y58)*('Tabellen PO-Raad'!$C$12+'Tabellen PO-Raad'!$C$13),0)</f>
        <v>0</v>
      </c>
      <c r="AD115" s="333">
        <f t="shared" si="337"/>
        <v>251.32705664849999</v>
      </c>
      <c r="AE115" s="308"/>
      <c r="AF115" s="334">
        <f t="shared" si="338"/>
        <v>2174.6210066460003</v>
      </c>
      <c r="AG115" s="334">
        <f t="shared" si="339"/>
        <v>2286.2972546460001</v>
      </c>
      <c r="AH115" s="334">
        <f t="shared" si="340"/>
        <v>2400.5146336932003</v>
      </c>
      <c r="AI115" s="334">
        <f t="shared" si="341"/>
        <v>0</v>
      </c>
      <c r="AJ115" s="334">
        <f t="shared" si="342"/>
        <v>0</v>
      </c>
      <c r="AK115" s="334">
        <f t="shared" si="343"/>
        <v>0</v>
      </c>
      <c r="AL115" s="334">
        <f t="shared" si="344"/>
        <v>0</v>
      </c>
      <c r="AM115" s="334">
        <f t="shared" si="345"/>
        <v>0</v>
      </c>
      <c r="AN115" s="334">
        <f t="shared" si="346"/>
        <v>0</v>
      </c>
      <c r="AO115" s="334">
        <f t="shared" si="347"/>
        <v>0</v>
      </c>
      <c r="AP115" s="334">
        <f t="shared" si="348"/>
        <v>2286.2972546460001</v>
      </c>
      <c r="AQ115" s="308"/>
      <c r="AR115" s="334">
        <f>T115*12</f>
        <v>3029.3866486296001</v>
      </c>
      <c r="AS115" s="334">
        <f t="shared" si="350"/>
        <v>3015.9246797819997</v>
      </c>
      <c r="AT115" s="334">
        <f t="shared" si="351"/>
        <v>0</v>
      </c>
      <c r="AU115" s="334">
        <f t="shared" si="352"/>
        <v>0</v>
      </c>
      <c r="AV115" s="334">
        <f t="shared" si="353"/>
        <v>0</v>
      </c>
      <c r="AW115" s="334">
        <f t="shared" si="354"/>
        <v>0</v>
      </c>
      <c r="AX115" s="334">
        <f t="shared" si="355"/>
        <v>0</v>
      </c>
      <c r="AY115" s="334">
        <f t="shared" si="356"/>
        <v>0</v>
      </c>
      <c r="AZ115" s="334">
        <f t="shared" si="357"/>
        <v>0</v>
      </c>
      <c r="BA115" s="334">
        <f t="shared" si="358"/>
        <v>0</v>
      </c>
      <c r="BB115" s="334">
        <f t="shared" si="359"/>
        <v>3015.9246797819997</v>
      </c>
      <c r="BC115" s="11"/>
      <c r="BF115" s="33"/>
      <c r="BG115" s="33"/>
      <c r="BH115" s="33"/>
    </row>
    <row r="116" spans="1:60" s="16" customFormat="1" ht="12.95" customHeight="1" thickTop="1" thickBot="1" x14ac:dyDescent="0.25">
      <c r="B116" s="43"/>
      <c r="C116" s="26" t="s">
        <v>44</v>
      </c>
      <c r="D116" s="26"/>
      <c r="E116" s="17"/>
      <c r="F116" s="27"/>
      <c r="G116" s="26"/>
      <c r="H116" s="475">
        <f>ROUND(IF('Inkomensgevolgen uitgebreid'!D58&gt;'Tabellen PO-Raad'!$H$14,'Tabellen PO-Raad'!$H$14,'Inkomensgevolgen uitgebreid'!D58)*'Tabellen PO-Raad'!$C$14,2)</f>
        <v>146.02000000000001</v>
      </c>
      <c r="I116" s="333">
        <f>IF(I$92&lt;&gt;"[leeg]",ROUND(IF('Inkomensgevolgen uitgebreid'!D58&gt;'Tabellen PO-Raad'!$H$14,'Tabellen PO-Raad'!$H$14,'Inkomensgevolgen uitgebreid'!D58)*'Tabellen PO-Raad'!$C$14,2),0)</f>
        <v>146.02000000000001</v>
      </c>
      <c r="J116" s="333">
        <f>IF(J$92&lt;&gt;"[leeg]",ROUND(IF('Inkomensgevolgen uitgebreid'!E58&gt;'Tabellen PO-Raad'!$H$14,'Tabellen PO-Raad'!$H$14,'Inkomensgevolgen uitgebreid'!E58)*'Tabellen PO-Raad'!$C$14,2),0)</f>
        <v>153.52000000000001</v>
      </c>
      <c r="K116" s="333">
        <f>IF(K$92&lt;&gt;"[leeg]",ROUND(IF('Inkomensgevolgen uitgebreid'!F58&gt;'Tabellen PO-Raad'!$H$14,'Tabellen PO-Raad'!$H$14,'Inkomensgevolgen uitgebreid'!F58)*'Tabellen PO-Raad'!$C$14,2),0)</f>
        <v>0</v>
      </c>
      <c r="L116" s="333">
        <f>IF(L$92&lt;&gt;"[leeg]",ROUND(IF('Inkomensgevolgen uitgebreid'!G58&gt;'Tabellen PO-Raad'!$H$14,'Tabellen PO-Raad'!$H$14,'Inkomensgevolgen uitgebreid'!G58)*'Tabellen PO-Raad'!$C$14,2),0)</f>
        <v>0</v>
      </c>
      <c r="M116" s="333">
        <f>IF(M$92&lt;&gt;"[leeg]",ROUND(IF('Inkomensgevolgen uitgebreid'!H58&gt;'Tabellen PO-Raad'!$H$14,'Tabellen PO-Raad'!$H$14,'Inkomensgevolgen uitgebreid'!H58)*'Tabellen PO-Raad'!$C$14,2),0)</f>
        <v>0</v>
      </c>
      <c r="N116" s="333">
        <f>IF(N$92&lt;&gt;"[leeg]",ROUND(IF('Inkomensgevolgen uitgebreid'!I58&gt;'Tabellen PO-Raad'!$H$14,'Tabellen PO-Raad'!$H$14,'Inkomensgevolgen uitgebreid'!I58)*'Tabellen PO-Raad'!$C$14,2),0)</f>
        <v>0</v>
      </c>
      <c r="O116" s="333">
        <f>IF(O$92&lt;&gt;"[leeg]",ROUND(IF('Inkomensgevolgen uitgebreid'!J58&gt;'Tabellen PO-Raad'!$H$14,'Tabellen PO-Raad'!$H$14,'Inkomensgevolgen uitgebreid'!J58)*'Tabellen PO-Raad'!$C$14,2),0)</f>
        <v>0</v>
      </c>
      <c r="P116" s="333">
        <f>IF(P$92&lt;&gt;"[leeg]",ROUND(IF('Inkomensgevolgen uitgebreid'!K58&gt;'Tabellen PO-Raad'!$H$14,'Tabellen PO-Raad'!$H$14,'Inkomensgevolgen uitgebreid'!K58)*'Tabellen PO-Raad'!$C$14,2),0)</f>
        <v>0</v>
      </c>
      <c r="Q116" s="333">
        <f>IF(Q$92&lt;&gt;"[leeg]",ROUND(IF('Inkomensgevolgen uitgebreid'!L58&gt;'Tabellen PO-Raad'!$H$14,'Tabellen PO-Raad'!$H$14,'Inkomensgevolgen uitgebreid'!L58)*'Tabellen PO-Raad'!$C$14,2),0)</f>
        <v>0</v>
      </c>
      <c r="R116" s="333">
        <f t="shared" si="336"/>
        <v>146.02000000000001</v>
      </c>
      <c r="S116" s="308"/>
      <c r="T116" s="333">
        <f>ROUND(IF('Inkomensgevolgen uitgebreid'!O58&gt;'Tabellen PO-Raad'!$H$14,'Tabellen PO-Raad'!$H$14,'Inkomensgevolgen uitgebreid'!O58)*'Tabellen PO-Raad'!$C$14,2)</f>
        <v>203.42</v>
      </c>
      <c r="U116" s="333">
        <f>IF(U$92&lt;&gt;"[leeg]",ROUND(IF('Inkomensgevolgen uitgebreid'!P58&gt;'Tabellen PO-Raad'!$H$14,'Tabellen PO-Raad'!$H$14,'Inkomensgevolgen uitgebreid'!P58)*'Tabellen PO-Raad'!$C$14,2),0)</f>
        <v>202.52</v>
      </c>
      <c r="V116" s="333">
        <f>IF(V$92&lt;&gt;"[leeg]",ROUND(IF('Inkomensgevolgen uitgebreid'!Q58&gt;'Tabellen PO-Raad'!$H$14,'Tabellen PO-Raad'!$H$14,'Inkomensgevolgen uitgebreid'!Q58)*'Tabellen PO-Raad'!$C$14,2),0)</f>
        <v>213.92</v>
      </c>
      <c r="W116" s="333">
        <f>IF(W$92&lt;&gt;"[leeg]",ROUND(IF('Inkomensgevolgen uitgebreid'!R58&gt;'Tabellen PO-Raad'!$H$14,'Tabellen PO-Raad'!$H$14,'Inkomensgevolgen uitgebreid'!R58)*'Tabellen PO-Raad'!$C$14,2),0)</f>
        <v>0</v>
      </c>
      <c r="X116" s="333">
        <f>IF(X$92&lt;&gt;"[leeg]",ROUND(IF('Inkomensgevolgen uitgebreid'!S58&gt;'Tabellen PO-Raad'!$H$14,'Tabellen PO-Raad'!$H$14,'Inkomensgevolgen uitgebreid'!S58)*'Tabellen PO-Raad'!$C$14,2),0)</f>
        <v>0</v>
      </c>
      <c r="Y116" s="333">
        <f>IF(Y$92&lt;&gt;"[leeg]",ROUND(IF('Inkomensgevolgen uitgebreid'!T58&gt;'Tabellen PO-Raad'!$H$14,'Tabellen PO-Raad'!$H$14,'Inkomensgevolgen uitgebreid'!T58)*'Tabellen PO-Raad'!$C$14,2),0)</f>
        <v>0</v>
      </c>
      <c r="Z116" s="333">
        <f>IF(Z$92&lt;&gt;"[leeg]",ROUND(IF('Inkomensgevolgen uitgebreid'!U58&gt;'Tabellen PO-Raad'!$H$14,'Tabellen PO-Raad'!$H$14,'Inkomensgevolgen uitgebreid'!U58)*'Tabellen PO-Raad'!$C$14,2),0)</f>
        <v>0</v>
      </c>
      <c r="AA116" s="333">
        <f>IF(AA$92&lt;&gt;"[leeg]",ROUND(IF('Inkomensgevolgen uitgebreid'!V58&gt;'Tabellen PO-Raad'!$H$14,'Tabellen PO-Raad'!$H$14,'Inkomensgevolgen uitgebreid'!V58)*'Tabellen PO-Raad'!$C$14,2),0)</f>
        <v>0</v>
      </c>
      <c r="AB116" s="333">
        <f>IF(AB$92&lt;&gt;"[leeg]",ROUND(IF('Inkomensgevolgen uitgebreid'!W58&gt;'Tabellen PO-Raad'!$H$14,'Tabellen PO-Raad'!$H$14,'Inkomensgevolgen uitgebreid'!W58)*'Tabellen PO-Raad'!$C$14,2),0)</f>
        <v>0</v>
      </c>
      <c r="AC116" s="333">
        <f>IF(AC$92&lt;&gt;"[leeg]",ROUND(IF('Inkomensgevolgen uitgebreid'!X58&gt;'Tabellen PO-Raad'!$H$14,'Tabellen PO-Raad'!$H$14,'Inkomensgevolgen uitgebreid'!X58)*'Tabellen PO-Raad'!$C$14,2),0)</f>
        <v>0</v>
      </c>
      <c r="AD116" s="333">
        <f t="shared" si="337"/>
        <v>202.52</v>
      </c>
      <c r="AE116" s="308"/>
      <c r="AF116" s="334">
        <f t="shared" si="338"/>
        <v>1752.2400000000002</v>
      </c>
      <c r="AG116" s="334">
        <f t="shared" si="339"/>
        <v>1752.2400000000002</v>
      </c>
      <c r="AH116" s="334">
        <f t="shared" si="340"/>
        <v>1842.2400000000002</v>
      </c>
      <c r="AI116" s="334">
        <f t="shared" si="341"/>
        <v>0</v>
      </c>
      <c r="AJ116" s="334">
        <f t="shared" si="342"/>
        <v>0</v>
      </c>
      <c r="AK116" s="334">
        <f t="shared" si="343"/>
        <v>0</v>
      </c>
      <c r="AL116" s="334">
        <f t="shared" si="344"/>
        <v>0</v>
      </c>
      <c r="AM116" s="334">
        <f t="shared" si="345"/>
        <v>0</v>
      </c>
      <c r="AN116" s="334">
        <f t="shared" si="346"/>
        <v>0</v>
      </c>
      <c r="AO116" s="334">
        <f t="shared" si="347"/>
        <v>0</v>
      </c>
      <c r="AP116" s="334">
        <f t="shared" si="348"/>
        <v>1752.2400000000002</v>
      </c>
      <c r="AQ116" s="308"/>
      <c r="AR116" s="334">
        <f t="shared" ref="AR116:AR117" si="360">T116*12</f>
        <v>2441.04</v>
      </c>
      <c r="AS116" s="334">
        <f t="shared" si="350"/>
        <v>2430.2400000000002</v>
      </c>
      <c r="AT116" s="334">
        <f t="shared" si="351"/>
        <v>2567.04</v>
      </c>
      <c r="AU116" s="334">
        <f t="shared" si="352"/>
        <v>0</v>
      </c>
      <c r="AV116" s="334">
        <f t="shared" si="353"/>
        <v>0</v>
      </c>
      <c r="AW116" s="334">
        <f t="shared" si="354"/>
        <v>0</v>
      </c>
      <c r="AX116" s="334">
        <f t="shared" si="355"/>
        <v>0</v>
      </c>
      <c r="AY116" s="334">
        <f t="shared" si="356"/>
        <v>0</v>
      </c>
      <c r="AZ116" s="334">
        <f t="shared" si="357"/>
        <v>0</v>
      </c>
      <c r="BA116" s="334">
        <f t="shared" si="358"/>
        <v>0</v>
      </c>
      <c r="BB116" s="334">
        <f t="shared" si="359"/>
        <v>2430.2400000000002</v>
      </c>
      <c r="BC116" s="11"/>
      <c r="BF116" s="33"/>
      <c r="BG116" s="33"/>
      <c r="BH116" s="33"/>
    </row>
    <row r="117" spans="1:60" s="16" customFormat="1" ht="12.95" customHeight="1" thickTop="1" thickBot="1" x14ac:dyDescent="0.25">
      <c r="B117" s="26"/>
      <c r="C117" s="26" t="s">
        <v>14</v>
      </c>
      <c r="D117" s="26"/>
      <c r="E117" s="17"/>
      <c r="F117" s="27"/>
      <c r="G117" s="26"/>
      <c r="H117" s="475">
        <f>IF('Inkomensgevolgen uitgebreid'!D58&gt;'Tabellen PO-Raad'!$G$15*$H$97/12,'Tabellen PO-Raad'!$G$15*$H$97/12,'Inkomensgevolgen uitgebreid'!D58)*'Tabellen PO-Raad'!$C$15</f>
        <v>14.864719386000001</v>
      </c>
      <c r="I117" s="333">
        <f>IF(I$92&lt;&gt;"[leeg]",IF('Inkomensgevolgen uitgebreid'!D58&gt;'Tabellen PO-Raad'!$G$15*$H$97/12,'Tabellen PO-Raad'!$G$15*$H$97/12,'Inkomensgevolgen uitgebreid'!D58)*'Tabellen PO-Raad'!$C$15,0)</f>
        <v>14.864719386000001</v>
      </c>
      <c r="J117" s="333">
        <f>IF(J$92&lt;&gt;"[leeg]",IF('Inkomensgevolgen uitgebreid'!E58&gt;'Tabellen PO-Raad'!$G$15*$H$97/12,'Tabellen PO-Raad'!$G$15*$H$97/12,'Inkomensgevolgen uitgebreid'!E58)*'Tabellen PO-Raad'!$C$15,0)</f>
        <v>15.628087385999999</v>
      </c>
      <c r="K117" s="333">
        <f>IF(K$92&lt;&gt;"[leeg]",IF('Inkomensgevolgen uitgebreid'!F58&gt;'Tabellen PO-Raad'!$G$15*$H$97/12,'Tabellen PO-Raad'!$G$15*$H$97/12,'Inkomensgevolgen uitgebreid'!F58)*'Tabellen PO-Raad'!$C$15,0)</f>
        <v>0</v>
      </c>
      <c r="L117" s="333">
        <f>IF(L$92&lt;&gt;"[leeg]",IF('Inkomensgevolgen uitgebreid'!G58&gt;'Tabellen PO-Raad'!$G$15*$H$97/12,'Tabellen PO-Raad'!$G$15*$H$97/12,'Inkomensgevolgen uitgebreid'!G58)*'Tabellen PO-Raad'!$C$15,0)</f>
        <v>0</v>
      </c>
      <c r="M117" s="333">
        <f>IF(M$92&lt;&gt;"[leeg]",IF('Inkomensgevolgen uitgebreid'!H58&gt;'Tabellen PO-Raad'!$G$15*$H$97/12,'Tabellen PO-Raad'!$G$15*$H$97/12,'Inkomensgevolgen uitgebreid'!H58)*'Tabellen PO-Raad'!$C$15,0)</f>
        <v>0</v>
      </c>
      <c r="N117" s="333">
        <f>IF(N$92&lt;&gt;"[leeg]",IF('Inkomensgevolgen uitgebreid'!I58&gt;'Tabellen PO-Raad'!$G$15*$H$97/12,'Tabellen PO-Raad'!$G$15*$H$97/12,'Inkomensgevolgen uitgebreid'!I58)*'Tabellen PO-Raad'!$C$15,0)</f>
        <v>0</v>
      </c>
      <c r="O117" s="333">
        <f>IF(O$92&lt;&gt;"[leeg]",IF('Inkomensgevolgen uitgebreid'!J58&gt;'Tabellen PO-Raad'!$G$15*$H$97/12,'Tabellen PO-Raad'!$G$15*$H$97/12,'Inkomensgevolgen uitgebreid'!J58)*'Tabellen PO-Raad'!$C$15,0)</f>
        <v>0</v>
      </c>
      <c r="P117" s="333">
        <f>IF(P$92&lt;&gt;"[leeg]",IF('Inkomensgevolgen uitgebreid'!K58&gt;'Tabellen PO-Raad'!$G$15*$H$97/12,'Tabellen PO-Raad'!$G$15*$H$97/12,'Inkomensgevolgen uitgebreid'!K58)*'Tabellen PO-Raad'!$C$15,0)</f>
        <v>0</v>
      </c>
      <c r="Q117" s="333">
        <f>IF(Q$92&lt;&gt;"[leeg]",IF('Inkomensgevolgen uitgebreid'!L58&gt;'Tabellen PO-Raad'!$G$15*$H$97/12,'Tabellen PO-Raad'!$G$15*$H$97/12,'Inkomensgevolgen uitgebreid'!L58)*'Tabellen PO-Raad'!$C$15,0)</f>
        <v>0</v>
      </c>
      <c r="R117" s="333">
        <f t="shared" si="336"/>
        <v>14.864719386000001</v>
      </c>
      <c r="S117" s="308"/>
      <c r="T117" s="333">
        <f>IF('Inkomensgevolgen uitgebreid'!O58&gt;'Tabellen PO-Raad'!$G$15*$H$97/12,'Tabellen PO-Raad'!$G$15*$H$97/12,'Inkomensgevolgen uitgebreid'!O58)*'Tabellen PO-Raad'!$C$15</f>
        <v>16.916699999999999</v>
      </c>
      <c r="U117" s="333">
        <f>IF(U$92&lt;&gt;"[leeg]",IF('Inkomensgevolgen uitgebreid'!P58&gt;'Tabellen PO-Raad'!$G$15*$H$97/12,'Tabellen PO-Raad'!$G$15*$H$97/12,'Inkomensgevolgen uitgebreid'!P58)*'Tabellen PO-Raad'!$C$15,0)</f>
        <v>16.916699999999999</v>
      </c>
      <c r="V117" s="333">
        <f>IF(V$92&lt;&gt;"[leeg]",IF('Inkomensgevolgen uitgebreid'!Q58&gt;'Tabellen PO-Raad'!$G$15*$H$97/12,'Tabellen PO-Raad'!$G$15*$H$97/12,'Inkomensgevolgen uitgebreid'!Q58)*'Tabellen PO-Raad'!$C$15,0)</f>
        <v>16.916699999999999</v>
      </c>
      <c r="W117" s="333">
        <f>IF(W$92&lt;&gt;"[leeg]",IF('Inkomensgevolgen uitgebreid'!R58&gt;'Tabellen PO-Raad'!$G$15*$H$97/12,'Tabellen PO-Raad'!$G$15*$H$97/12,'Inkomensgevolgen uitgebreid'!R58)*'Tabellen PO-Raad'!$C$15,0)</f>
        <v>0</v>
      </c>
      <c r="X117" s="333">
        <f>IF(X$92&lt;&gt;"[leeg]",IF('Inkomensgevolgen uitgebreid'!S58&gt;'Tabellen PO-Raad'!$G$15*$H$97/12,'Tabellen PO-Raad'!$G$15*$H$97/12,'Inkomensgevolgen uitgebreid'!S58)*'Tabellen PO-Raad'!$C$15,0)</f>
        <v>0</v>
      </c>
      <c r="Y117" s="333">
        <f>IF(Y$92&lt;&gt;"[leeg]",IF('Inkomensgevolgen uitgebreid'!T58&gt;'Tabellen PO-Raad'!$G$15*$H$97/12,'Tabellen PO-Raad'!$G$15*$H$97/12,'Inkomensgevolgen uitgebreid'!T58)*'Tabellen PO-Raad'!$C$15,0)</f>
        <v>0</v>
      </c>
      <c r="Z117" s="333">
        <f>IF(Z$92&lt;&gt;"[leeg]",IF('Inkomensgevolgen uitgebreid'!U58&gt;'Tabellen PO-Raad'!$G$15*$H$97/12,'Tabellen PO-Raad'!$G$15*$H$97/12,'Inkomensgevolgen uitgebreid'!U58)*'Tabellen PO-Raad'!$C$15,0)</f>
        <v>0</v>
      </c>
      <c r="AA117" s="333">
        <f>IF(AA$92&lt;&gt;"[leeg]",IF('Inkomensgevolgen uitgebreid'!V58&gt;'Tabellen PO-Raad'!$G$15*$H$97/12,'Tabellen PO-Raad'!$G$15*$H$97/12,'Inkomensgevolgen uitgebreid'!V58)*'Tabellen PO-Raad'!$C$15,0)</f>
        <v>0</v>
      </c>
      <c r="AB117" s="333">
        <f>IF(AB$92&lt;&gt;"[leeg]",IF('Inkomensgevolgen uitgebreid'!W58&gt;'Tabellen PO-Raad'!$G$15*$H$97/12,'Tabellen PO-Raad'!$G$15*$H$97/12,'Inkomensgevolgen uitgebreid'!W58)*'Tabellen PO-Raad'!$C$15,0)</f>
        <v>0</v>
      </c>
      <c r="AC117" s="333">
        <f>IF(AC$92&lt;&gt;"[leeg]",IF('Inkomensgevolgen uitgebreid'!X58&gt;'Tabellen PO-Raad'!$G$15*$H$97/12,'Tabellen PO-Raad'!$G$15*$H$97/12,'Inkomensgevolgen uitgebreid'!X58)*'Tabellen PO-Raad'!$C$15,0)</f>
        <v>0</v>
      </c>
      <c r="AD117" s="333">
        <f t="shared" si="337"/>
        <v>16.916699999999999</v>
      </c>
      <c r="AE117" s="308"/>
      <c r="AF117" s="334">
        <f t="shared" si="338"/>
        <v>178.376632632</v>
      </c>
      <c r="AG117" s="334">
        <f t="shared" si="339"/>
        <v>178.376632632</v>
      </c>
      <c r="AH117" s="334">
        <f t="shared" si="340"/>
        <v>187.53704863199999</v>
      </c>
      <c r="AI117" s="334">
        <f t="shared" si="341"/>
        <v>0</v>
      </c>
      <c r="AJ117" s="334">
        <f t="shared" si="342"/>
        <v>0</v>
      </c>
      <c r="AK117" s="334">
        <f t="shared" si="343"/>
        <v>0</v>
      </c>
      <c r="AL117" s="334">
        <f t="shared" si="344"/>
        <v>0</v>
      </c>
      <c r="AM117" s="334">
        <f t="shared" si="345"/>
        <v>0</v>
      </c>
      <c r="AN117" s="334">
        <f t="shared" si="346"/>
        <v>0</v>
      </c>
      <c r="AO117" s="334">
        <f t="shared" si="347"/>
        <v>0</v>
      </c>
      <c r="AP117" s="334">
        <f t="shared" si="348"/>
        <v>178.376632632</v>
      </c>
      <c r="AQ117" s="308"/>
      <c r="AR117" s="334">
        <f t="shared" si="360"/>
        <v>203.00039999999998</v>
      </c>
      <c r="AS117" s="334">
        <f t="shared" si="350"/>
        <v>203.00039999999998</v>
      </c>
      <c r="AT117" s="334">
        <f t="shared" si="351"/>
        <v>203.00039999999998</v>
      </c>
      <c r="AU117" s="334">
        <f t="shared" si="352"/>
        <v>0</v>
      </c>
      <c r="AV117" s="334">
        <f t="shared" si="353"/>
        <v>0</v>
      </c>
      <c r="AW117" s="334">
        <f t="shared" si="354"/>
        <v>0</v>
      </c>
      <c r="AX117" s="334">
        <f t="shared" si="355"/>
        <v>0</v>
      </c>
      <c r="AY117" s="334">
        <f t="shared" si="356"/>
        <v>0</v>
      </c>
      <c r="AZ117" s="334">
        <f t="shared" si="357"/>
        <v>0</v>
      </c>
      <c r="BA117" s="334">
        <f t="shared" si="358"/>
        <v>0</v>
      </c>
      <c r="BB117" s="334">
        <f t="shared" si="359"/>
        <v>203.00039999999998</v>
      </c>
      <c r="BC117" s="11"/>
      <c r="BF117" s="33"/>
      <c r="BG117" s="33"/>
      <c r="BH117" s="33"/>
    </row>
    <row r="118" spans="1:60" s="16" customFormat="1" ht="12.95" customHeight="1" collapsed="1" thickTop="1" thickBot="1" x14ac:dyDescent="0.25">
      <c r="B118" s="26"/>
      <c r="C118" s="28" t="s">
        <v>61</v>
      </c>
      <c r="D118" s="28"/>
      <c r="E118" s="91"/>
      <c r="F118" s="50"/>
      <c r="G118" s="43"/>
      <c r="H118" s="471">
        <f>SUM(H112:H117)</f>
        <v>670.66413160650006</v>
      </c>
      <c r="I118" s="335">
        <f t="shared" ref="I118" si="361">SUM(I112:I117)</f>
        <v>679.97048560650012</v>
      </c>
      <c r="J118" s="335">
        <f t="shared" ref="J118:Q118" si="362">SUM(J112:J117)</f>
        <v>720.30500252709999</v>
      </c>
      <c r="K118" s="335">
        <f t="shared" si="362"/>
        <v>0</v>
      </c>
      <c r="L118" s="335">
        <f t="shared" si="362"/>
        <v>0</v>
      </c>
      <c r="M118" s="335">
        <f t="shared" si="362"/>
        <v>0</v>
      </c>
      <c r="N118" s="335">
        <f t="shared" si="362"/>
        <v>0</v>
      </c>
      <c r="O118" s="335">
        <f t="shared" si="362"/>
        <v>0</v>
      </c>
      <c r="P118" s="335">
        <f t="shared" si="362"/>
        <v>0</v>
      </c>
      <c r="Q118" s="335">
        <f t="shared" si="362"/>
        <v>0</v>
      </c>
      <c r="R118" s="335">
        <f t="shared" si="336"/>
        <v>679.97048560650012</v>
      </c>
      <c r="S118" s="308"/>
      <c r="T118" s="335">
        <f>SUM(T112:T117)</f>
        <v>929.4380493857999</v>
      </c>
      <c r="U118" s="335">
        <f>SUM(U112:U117)</f>
        <v>958.99167164849996</v>
      </c>
      <c r="V118" s="335">
        <f t="shared" ref="V118:AC118" si="363">SUM(V112:V117)</f>
        <v>719.064615</v>
      </c>
      <c r="W118" s="335">
        <f t="shared" si="363"/>
        <v>0</v>
      </c>
      <c r="X118" s="335">
        <f t="shared" si="363"/>
        <v>0</v>
      </c>
      <c r="Y118" s="335">
        <f t="shared" si="363"/>
        <v>0</v>
      </c>
      <c r="Z118" s="335">
        <f t="shared" si="363"/>
        <v>0</v>
      </c>
      <c r="AA118" s="335">
        <f t="shared" si="363"/>
        <v>0</v>
      </c>
      <c r="AB118" s="335">
        <f t="shared" si="363"/>
        <v>0</v>
      </c>
      <c r="AC118" s="335">
        <f t="shared" si="363"/>
        <v>0</v>
      </c>
      <c r="AD118" s="335">
        <f t="shared" si="337"/>
        <v>958.99167164849996</v>
      </c>
      <c r="AE118" s="308"/>
      <c r="AF118" s="335">
        <f>SUM(AF112:AF117)</f>
        <v>8047.9695792780003</v>
      </c>
      <c r="AG118" s="335">
        <f t="shared" ref="AG118" si="364">SUM(AG112:AG117)</f>
        <v>8159.6458272780001</v>
      </c>
      <c r="AH118" s="335">
        <f t="shared" ref="AH118" si="365">SUM(AH112:AH117)</f>
        <v>8643.6600303252017</v>
      </c>
      <c r="AI118" s="335">
        <f t="shared" ref="AI118" si="366">SUM(AI112:AI117)</f>
        <v>0</v>
      </c>
      <c r="AJ118" s="335">
        <f t="shared" ref="AJ118" si="367">SUM(AJ112:AJ117)</f>
        <v>0</v>
      </c>
      <c r="AK118" s="335">
        <f t="shared" ref="AK118" si="368">SUM(AK112:AK117)</f>
        <v>0</v>
      </c>
      <c r="AL118" s="335">
        <f t="shared" ref="AL118" si="369">SUM(AL112:AL117)</f>
        <v>0</v>
      </c>
      <c r="AM118" s="335">
        <f t="shared" ref="AM118" si="370">SUM(AM112:AM117)</f>
        <v>0</v>
      </c>
      <c r="AN118" s="335">
        <f t="shared" ref="AN118" si="371">SUM(AN112:AN117)</f>
        <v>0</v>
      </c>
      <c r="AO118" s="335">
        <f t="shared" ref="AO118" si="372">SUM(AO112:AO117)</f>
        <v>0</v>
      </c>
      <c r="AP118" s="335">
        <f t="shared" si="348"/>
        <v>8159.6458272780001</v>
      </c>
      <c r="AQ118" s="308"/>
      <c r="AR118" s="335">
        <f>SUM(AR112:AR117)</f>
        <v>11153.256592629601</v>
      </c>
      <c r="AS118" s="335">
        <f t="shared" ref="AS118:BA118" si="373">SUM(AS112:AS117)</f>
        <v>11507.900059782</v>
      </c>
      <c r="AT118" s="335">
        <f t="shared" si="373"/>
        <v>8628.775380000001</v>
      </c>
      <c r="AU118" s="335">
        <f t="shared" si="373"/>
        <v>0</v>
      </c>
      <c r="AV118" s="335">
        <f t="shared" si="373"/>
        <v>0</v>
      </c>
      <c r="AW118" s="335">
        <f t="shared" si="373"/>
        <v>0</v>
      </c>
      <c r="AX118" s="335">
        <f t="shared" si="373"/>
        <v>0</v>
      </c>
      <c r="AY118" s="335">
        <f t="shared" si="373"/>
        <v>0</v>
      </c>
      <c r="AZ118" s="335">
        <f t="shared" si="373"/>
        <v>0</v>
      </c>
      <c r="BA118" s="335">
        <f t="shared" si="373"/>
        <v>0</v>
      </c>
      <c r="BB118" s="335">
        <f t="shared" si="359"/>
        <v>11507.900059782</v>
      </c>
      <c r="BC118" s="11"/>
      <c r="BF118" s="33"/>
      <c r="BG118" s="33"/>
      <c r="BH118" s="33"/>
    </row>
    <row r="119" spans="1:60" s="16" customFormat="1" ht="12.95" customHeight="1" thickTop="1" thickBot="1" x14ac:dyDescent="0.25">
      <c r="B119" s="26"/>
      <c r="C119" s="26" t="s">
        <v>75</v>
      </c>
      <c r="D119" s="144" t="s">
        <v>174</v>
      </c>
      <c r="E119" s="152"/>
      <c r="F119" s="11"/>
      <c r="G119" s="469"/>
      <c r="H119" s="475">
        <f>(H99+H100)*VLOOKUP($G$47,'Tabellen PO-Raad'!$A$16:$C$22,3)</f>
        <v>95.602950000000007</v>
      </c>
      <c r="I119" s="333">
        <f>IF(I$92&lt;&gt;"[leeg]",(I99+I100)*VLOOKUP($G$47,'Tabellen PO-Raad'!$A$16:$C$22,3),0)</f>
        <v>100.29285</v>
      </c>
      <c r="J119" s="333">
        <f>IF(J$92&lt;&gt;"[leeg]",(J99+J100)*VLOOKUP($G$47,'Tabellen PO-Raad'!$A$16:$C$22,3),0)</f>
        <v>105.49305</v>
      </c>
      <c r="K119" s="333">
        <f>IF(K$92&lt;&gt;"[leeg]",(K99+K100)*VLOOKUP($G$47,'Tabellen PO-Raad'!$A$16:$C$22,3),0)</f>
        <v>0</v>
      </c>
      <c r="L119" s="333">
        <f>IF(L$92&lt;&gt;"[leeg]",(L99+L100)*VLOOKUP($G$47,'Tabellen PO-Raad'!$A$16:$C$22,3),0)</f>
        <v>0</v>
      </c>
      <c r="M119" s="333">
        <f>IF(M$92&lt;&gt;"[leeg]",(M99+M100)*VLOOKUP($G$47,'Tabellen PO-Raad'!$A$16:$C$22,3),0)</f>
        <v>0</v>
      </c>
      <c r="N119" s="333">
        <f>IF(N$92&lt;&gt;"[leeg]",(N99+N100)*VLOOKUP($G$47,'Tabellen PO-Raad'!$A$16:$C$22,3),0)</f>
        <v>0</v>
      </c>
      <c r="O119" s="333">
        <f>IF(O$92&lt;&gt;"[leeg]",(O99+O100)*VLOOKUP($G$47,'Tabellen PO-Raad'!$A$16:$C$22,3),0)</f>
        <v>0</v>
      </c>
      <c r="P119" s="333">
        <f>IF(P$92&lt;&gt;"[leeg]",(P99+P100)*VLOOKUP($G$47,'Tabellen PO-Raad'!$A$16:$C$22,3),0)</f>
        <v>0</v>
      </c>
      <c r="Q119" s="333">
        <f>IF(Q$92&lt;&gt;"[leeg]",(Q99+Q100)*VLOOKUP($G$47,'Tabellen PO-Raad'!$A$16:$C$22,3),0)</f>
        <v>0</v>
      </c>
      <c r="R119" s="333">
        <f t="shared" si="336"/>
        <v>100.29285</v>
      </c>
      <c r="S119" s="308"/>
      <c r="T119" s="333">
        <f>(T99+T100)*VLOOKUP($G$47,'Tabellen PO-Raad'!$A$16:$C$22,3)</f>
        <v>133.79309999999998</v>
      </c>
      <c r="U119" s="333">
        <f>(U99+U100)*VLOOKUP($G$47,'Tabellen PO-Raad'!$A$16:$C$22,3)</f>
        <v>140.35904999999997</v>
      </c>
      <c r="V119" s="333">
        <f>IF(V$92&lt;&gt;"[leeg]",(V99+V100)*VLOOKUP($G$47,'Tabellen PO-Raad'!$A$16:$C$22,3),0)</f>
        <v>147.63915</v>
      </c>
      <c r="W119" s="333">
        <f>IF(W$92&lt;&gt;"[leeg]",(W99+W100)*VLOOKUP($G$47,'Tabellen PO-Raad'!$A$16:$C$22,3),0)</f>
        <v>0</v>
      </c>
      <c r="X119" s="333">
        <f>IF(X$92&lt;&gt;"[leeg]",(X99+X100)*VLOOKUP($G$47,'Tabellen PO-Raad'!$A$16:$C$22,3),0)</f>
        <v>0</v>
      </c>
      <c r="Y119" s="333">
        <f>IF(Y$92&lt;&gt;"[leeg]",(Y99+Y100)*VLOOKUP($G$47,'Tabellen PO-Raad'!$A$16:$C$22,3),0)</f>
        <v>0</v>
      </c>
      <c r="Z119" s="333">
        <f>IF(Z$92&lt;&gt;"[leeg]",(Z99+Z100)*VLOOKUP($G$47,'Tabellen PO-Raad'!$A$16:$C$22,3),0)</f>
        <v>0</v>
      </c>
      <c r="AA119" s="333">
        <f>IF(AA$92&lt;&gt;"[leeg]",(AA99+AA100)*VLOOKUP($G$47,'Tabellen PO-Raad'!$A$16:$C$22,3),0)</f>
        <v>0</v>
      </c>
      <c r="AB119" s="333">
        <f>IF(AB$92&lt;&gt;"[leeg]",(AB99+AB100)*VLOOKUP($G$47,'Tabellen PO-Raad'!$A$16:$C$22,3),0)</f>
        <v>0</v>
      </c>
      <c r="AC119" s="333">
        <f>IF(AC$92&lt;&gt;"[leeg]",(AC99+AC100)*VLOOKUP($G$47,'Tabellen PO-Raad'!$A$16:$C$22,3),0)</f>
        <v>0</v>
      </c>
      <c r="AD119" s="333">
        <f t="shared" si="337"/>
        <v>140.35904999999997</v>
      </c>
      <c r="AE119" s="308"/>
      <c r="AF119" s="333">
        <f>H119*12</f>
        <v>1147.2354</v>
      </c>
      <c r="AG119" s="333">
        <f t="shared" ref="AG119:AG121" si="374">I119*12</f>
        <v>1203.5142000000001</v>
      </c>
      <c r="AH119" s="333">
        <f t="shared" ref="AH119:AH121" si="375">J119*12</f>
        <v>1265.9166</v>
      </c>
      <c r="AI119" s="333">
        <f t="shared" ref="AI119:AI121" si="376">K119*12</f>
        <v>0</v>
      </c>
      <c r="AJ119" s="333">
        <f t="shared" ref="AJ119:AJ121" si="377">L119*12</f>
        <v>0</v>
      </c>
      <c r="AK119" s="333">
        <f t="shared" ref="AK119:AK121" si="378">M119*12</f>
        <v>0</v>
      </c>
      <c r="AL119" s="333">
        <f t="shared" ref="AL119:AL121" si="379">N119*12</f>
        <v>0</v>
      </c>
      <c r="AM119" s="333">
        <f t="shared" ref="AM119:AM121" si="380">O119*12</f>
        <v>0</v>
      </c>
      <c r="AN119" s="333">
        <f t="shared" ref="AN119:AN121" si="381">P119*12</f>
        <v>0</v>
      </c>
      <c r="AO119" s="333">
        <f t="shared" ref="AO119:AO121" si="382">Q119*12</f>
        <v>0</v>
      </c>
      <c r="AP119" s="336">
        <f t="shared" si="348"/>
        <v>1203.5142000000001</v>
      </c>
      <c r="AQ119" s="308"/>
      <c r="AR119" s="333">
        <f>T119*12</f>
        <v>1605.5171999999998</v>
      </c>
      <c r="AS119" s="333">
        <f t="shared" ref="AS119:AS121" si="383">U119*12</f>
        <v>1684.3085999999996</v>
      </c>
      <c r="AT119" s="333">
        <f t="shared" ref="AT119:AT121" si="384">V119*12</f>
        <v>1771.6698000000001</v>
      </c>
      <c r="AU119" s="333">
        <f t="shared" ref="AU119:AU121" si="385">W119*12</f>
        <v>0</v>
      </c>
      <c r="AV119" s="333">
        <f t="shared" ref="AV119:AV121" si="386">X119*12</f>
        <v>0</v>
      </c>
      <c r="AW119" s="333">
        <f t="shared" ref="AW119:AW121" si="387">Y119*12</f>
        <v>0</v>
      </c>
      <c r="AX119" s="333">
        <f t="shared" ref="AX119:AX121" si="388">Z119*12</f>
        <v>0</v>
      </c>
      <c r="AY119" s="333">
        <f t="shared" ref="AY119:AY121" si="389">AA119*12</f>
        <v>0</v>
      </c>
      <c r="AZ119" s="333">
        <f t="shared" ref="AZ119:AZ121" si="390">AB119*12</f>
        <v>0</v>
      </c>
      <c r="BA119" s="333">
        <f t="shared" ref="BA119:BA121" si="391">AC119*12</f>
        <v>0</v>
      </c>
      <c r="BB119" s="336">
        <f t="shared" si="359"/>
        <v>1684.3085999999996</v>
      </c>
      <c r="BC119" s="11"/>
      <c r="BF119" s="33"/>
      <c r="BG119" s="33"/>
      <c r="BH119" s="33"/>
    </row>
    <row r="120" spans="1:60" s="16" customFormat="1" ht="12.95" customHeight="1" thickTop="1" thickBot="1" x14ac:dyDescent="0.25">
      <c r="B120" s="26"/>
      <c r="C120" s="26" t="s">
        <v>223</v>
      </c>
      <c r="D120" s="26"/>
      <c r="E120" s="17"/>
      <c r="F120" s="27"/>
      <c r="G120" s="26"/>
      <c r="H120" s="476">
        <v>0</v>
      </c>
      <c r="I120" s="468">
        <v>0</v>
      </c>
      <c r="J120" s="468">
        <v>0</v>
      </c>
      <c r="K120" s="468">
        <v>0</v>
      </c>
      <c r="L120" s="468">
        <v>0</v>
      </c>
      <c r="M120" s="468">
        <v>0</v>
      </c>
      <c r="N120" s="468">
        <v>0</v>
      </c>
      <c r="O120" s="468">
        <v>0</v>
      </c>
      <c r="P120" s="468">
        <v>0</v>
      </c>
      <c r="Q120" s="468">
        <v>0</v>
      </c>
      <c r="R120" s="333">
        <f t="shared" si="336"/>
        <v>0</v>
      </c>
      <c r="S120" s="308"/>
      <c r="T120" s="468">
        <v>0</v>
      </c>
      <c r="U120" s="468">
        <v>0</v>
      </c>
      <c r="V120" s="468">
        <v>0</v>
      </c>
      <c r="W120" s="468">
        <v>0</v>
      </c>
      <c r="X120" s="468">
        <v>0</v>
      </c>
      <c r="Y120" s="468">
        <v>0</v>
      </c>
      <c r="Z120" s="468">
        <v>0</v>
      </c>
      <c r="AA120" s="468">
        <v>0</v>
      </c>
      <c r="AB120" s="468">
        <v>0</v>
      </c>
      <c r="AC120" s="468">
        <v>0</v>
      </c>
      <c r="AD120" s="333">
        <f t="shared" si="337"/>
        <v>0</v>
      </c>
      <c r="AE120" s="308"/>
      <c r="AF120" s="333">
        <f>H120*12</f>
        <v>0</v>
      </c>
      <c r="AG120" s="333">
        <f t="shared" si="374"/>
        <v>0</v>
      </c>
      <c r="AH120" s="333">
        <f t="shared" si="375"/>
        <v>0</v>
      </c>
      <c r="AI120" s="333">
        <f t="shared" si="376"/>
        <v>0</v>
      </c>
      <c r="AJ120" s="333">
        <f t="shared" si="377"/>
        <v>0</v>
      </c>
      <c r="AK120" s="333">
        <f t="shared" si="378"/>
        <v>0</v>
      </c>
      <c r="AL120" s="333">
        <f t="shared" si="379"/>
        <v>0</v>
      </c>
      <c r="AM120" s="333">
        <f t="shared" si="380"/>
        <v>0</v>
      </c>
      <c r="AN120" s="333">
        <f t="shared" si="381"/>
        <v>0</v>
      </c>
      <c r="AO120" s="333">
        <f t="shared" si="382"/>
        <v>0</v>
      </c>
      <c r="AP120" s="333">
        <f t="shared" si="348"/>
        <v>0</v>
      </c>
      <c r="AQ120" s="308"/>
      <c r="AR120" s="333">
        <f t="shared" ref="AR120" si="392">T120*12</f>
        <v>0</v>
      </c>
      <c r="AS120" s="333">
        <f t="shared" si="383"/>
        <v>0</v>
      </c>
      <c r="AT120" s="333">
        <f t="shared" si="384"/>
        <v>0</v>
      </c>
      <c r="AU120" s="333">
        <f t="shared" si="385"/>
        <v>0</v>
      </c>
      <c r="AV120" s="333">
        <f t="shared" si="386"/>
        <v>0</v>
      </c>
      <c r="AW120" s="333">
        <f t="shared" si="387"/>
        <v>0</v>
      </c>
      <c r="AX120" s="333">
        <f t="shared" si="388"/>
        <v>0</v>
      </c>
      <c r="AY120" s="333">
        <f t="shared" si="389"/>
        <v>0</v>
      </c>
      <c r="AZ120" s="333">
        <f t="shared" si="390"/>
        <v>0</v>
      </c>
      <c r="BA120" s="333">
        <f t="shared" si="391"/>
        <v>0</v>
      </c>
      <c r="BB120" s="333">
        <f t="shared" si="359"/>
        <v>0</v>
      </c>
      <c r="BC120" s="11"/>
      <c r="BF120" s="33"/>
      <c r="BG120" s="33"/>
      <c r="BH120" s="33"/>
    </row>
    <row r="121" spans="1:60" s="16" customFormat="1" ht="12.95" customHeight="1" thickTop="1" thickBot="1" x14ac:dyDescent="0.25">
      <c r="B121" s="26"/>
      <c r="C121" s="26" t="s">
        <v>59</v>
      </c>
      <c r="D121" s="26"/>
      <c r="E121" s="17"/>
      <c r="F121" s="27"/>
      <c r="G121" s="26"/>
      <c r="H121" s="475">
        <f>(H99+H100)*'Tabellen PO-Raad'!$C$23</f>
        <v>50.988240000000005</v>
      </c>
      <c r="I121" s="333">
        <f>IF(I$92&lt;&gt;"[leeg]",(I99+I100)*'Tabellen PO-Raad'!$C$23,0)</f>
        <v>53.489519999999999</v>
      </c>
      <c r="J121" s="333">
        <f>IF(J$92&lt;&gt;"[leeg]",(J99+J100)*'Tabellen PO-Raad'!$C$23,0)</f>
        <v>56.26296</v>
      </c>
      <c r="K121" s="333">
        <f>IF(K$92&lt;&gt;"[leeg]",(K99+K100)*'Tabellen PO-Raad'!$C$23,0)</f>
        <v>0</v>
      </c>
      <c r="L121" s="333">
        <f>IF(L$92&lt;&gt;"[leeg]",(L99+L100)*'Tabellen PO-Raad'!$C$23,0)</f>
        <v>0</v>
      </c>
      <c r="M121" s="333">
        <f>IF(M$92&lt;&gt;"[leeg]",(M99+M100)*'Tabellen PO-Raad'!$C$23,0)</f>
        <v>0</v>
      </c>
      <c r="N121" s="333">
        <f>IF(N$92&lt;&gt;"[leeg]",(N99+N100)*'Tabellen PO-Raad'!$C$23,0)</f>
        <v>0</v>
      </c>
      <c r="O121" s="333">
        <f>IF(O$92&lt;&gt;"[leeg]",(O99+O100)*'Tabellen PO-Raad'!$C$23,0)</f>
        <v>0</v>
      </c>
      <c r="P121" s="333">
        <f>IF(P$92&lt;&gt;"[leeg]",(P99+P100)*'Tabellen PO-Raad'!$C$23,0)</f>
        <v>0</v>
      </c>
      <c r="Q121" s="333">
        <f>IF(Q$92&lt;&gt;"[leeg]",(Q99+Q100)*'Tabellen PO-Raad'!$C$23,0)</f>
        <v>0</v>
      </c>
      <c r="R121" s="333">
        <f t="shared" si="336"/>
        <v>53.489519999999999</v>
      </c>
      <c r="S121" s="308"/>
      <c r="T121" s="333">
        <f>(T99+T100)*'Tabellen PO-Raad'!$C$23</f>
        <v>71.356319999999997</v>
      </c>
      <c r="U121" s="333">
        <f>(U99+U100)*'Tabellen PO-Raad'!$C$23</f>
        <v>74.858159999999998</v>
      </c>
      <c r="V121" s="333">
        <f>IF(V$92&lt;&gt;"[leeg]",(V99+V100)*'Tabellen PO-Raad'!$C$23,0)</f>
        <v>78.740880000000004</v>
      </c>
      <c r="W121" s="333">
        <f>IF(W$92&lt;&gt;"[leeg]",(W99+W100)*'Tabellen PO-Raad'!$C$23,0)</f>
        <v>0</v>
      </c>
      <c r="X121" s="333">
        <f>IF(X$92&lt;&gt;"[leeg]",(X99+X100)*'Tabellen PO-Raad'!$C$23,0)</f>
        <v>0</v>
      </c>
      <c r="Y121" s="333">
        <f>IF(Y$92&lt;&gt;"[leeg]",(Y99+Y100)*'Tabellen PO-Raad'!$C$23,0)</f>
        <v>0</v>
      </c>
      <c r="Z121" s="333">
        <f>IF(Z$92&lt;&gt;"[leeg]",(Z99+Z100)*'Tabellen PO-Raad'!$C$23,0)</f>
        <v>0</v>
      </c>
      <c r="AA121" s="333">
        <f>IF(AA$92&lt;&gt;"[leeg]",(AA99+AA100)*'Tabellen PO-Raad'!$C$23,0)</f>
        <v>0</v>
      </c>
      <c r="AB121" s="333">
        <f>IF(AB$92&lt;&gt;"[leeg]",(AB99+AB100)*'Tabellen PO-Raad'!$C$23,0)</f>
        <v>0</v>
      </c>
      <c r="AC121" s="333">
        <f>IF(AC$92&lt;&gt;"[leeg]",(AC99+AC100)*'Tabellen PO-Raad'!$C$23,0)</f>
        <v>0</v>
      </c>
      <c r="AD121" s="333">
        <f t="shared" si="337"/>
        <v>74.858159999999998</v>
      </c>
      <c r="AE121" s="308"/>
      <c r="AF121" s="333">
        <f>H121*12</f>
        <v>611.85888</v>
      </c>
      <c r="AG121" s="333">
        <f t="shared" si="374"/>
        <v>641.87423999999999</v>
      </c>
      <c r="AH121" s="333">
        <f t="shared" si="375"/>
        <v>675.15552000000002</v>
      </c>
      <c r="AI121" s="333">
        <f t="shared" si="376"/>
        <v>0</v>
      </c>
      <c r="AJ121" s="333">
        <f t="shared" si="377"/>
        <v>0</v>
      </c>
      <c r="AK121" s="333">
        <f t="shared" si="378"/>
        <v>0</v>
      </c>
      <c r="AL121" s="333">
        <f t="shared" si="379"/>
        <v>0</v>
      </c>
      <c r="AM121" s="333">
        <f t="shared" si="380"/>
        <v>0</v>
      </c>
      <c r="AN121" s="333">
        <f t="shared" si="381"/>
        <v>0</v>
      </c>
      <c r="AO121" s="333">
        <f t="shared" si="382"/>
        <v>0</v>
      </c>
      <c r="AP121" s="333">
        <f t="shared" si="348"/>
        <v>641.87423999999999</v>
      </c>
      <c r="AQ121" s="308"/>
      <c r="AR121" s="333">
        <f>T121*12</f>
        <v>856.27584000000002</v>
      </c>
      <c r="AS121" s="333">
        <f t="shared" si="383"/>
        <v>898.29791999999998</v>
      </c>
      <c r="AT121" s="333">
        <f t="shared" si="384"/>
        <v>944.89056000000005</v>
      </c>
      <c r="AU121" s="333">
        <f t="shared" si="385"/>
        <v>0</v>
      </c>
      <c r="AV121" s="333">
        <f t="shared" si="386"/>
        <v>0</v>
      </c>
      <c r="AW121" s="333">
        <f t="shared" si="387"/>
        <v>0</v>
      </c>
      <c r="AX121" s="333">
        <f t="shared" si="388"/>
        <v>0</v>
      </c>
      <c r="AY121" s="333">
        <f t="shared" si="389"/>
        <v>0</v>
      </c>
      <c r="AZ121" s="333">
        <f t="shared" si="390"/>
        <v>0</v>
      </c>
      <c r="BA121" s="333">
        <f t="shared" si="391"/>
        <v>0</v>
      </c>
      <c r="BB121" s="333">
        <f t="shared" si="359"/>
        <v>898.29791999999998</v>
      </c>
      <c r="BC121" s="11"/>
      <c r="BF121" s="33"/>
      <c r="BG121" s="33"/>
      <c r="BH121" s="33"/>
    </row>
    <row r="122" spans="1:60" s="16" customFormat="1" ht="12.95" customHeight="1" collapsed="1" thickTop="1" thickBot="1" x14ac:dyDescent="0.25">
      <c r="B122" s="26"/>
      <c r="C122" s="28" t="s">
        <v>197</v>
      </c>
      <c r="D122" s="28"/>
      <c r="E122" s="91"/>
      <c r="F122" s="27"/>
      <c r="G122" s="26"/>
      <c r="H122" s="471">
        <f>SUM(H119:H121)</f>
        <v>146.59119000000001</v>
      </c>
      <c r="I122" s="335">
        <f t="shared" ref="I122" si="393">SUM(I119:I121)</f>
        <v>153.78237000000001</v>
      </c>
      <c r="J122" s="335">
        <f t="shared" ref="J122:Q122" si="394">SUM(J119:J121)</f>
        <v>161.75601</v>
      </c>
      <c r="K122" s="335">
        <f t="shared" si="394"/>
        <v>0</v>
      </c>
      <c r="L122" s="335">
        <f t="shared" si="394"/>
        <v>0</v>
      </c>
      <c r="M122" s="335">
        <f t="shared" si="394"/>
        <v>0</v>
      </c>
      <c r="N122" s="335">
        <f t="shared" si="394"/>
        <v>0</v>
      </c>
      <c r="O122" s="335">
        <f t="shared" si="394"/>
        <v>0</v>
      </c>
      <c r="P122" s="335">
        <f t="shared" si="394"/>
        <v>0</v>
      </c>
      <c r="Q122" s="335">
        <f t="shared" si="394"/>
        <v>0</v>
      </c>
      <c r="R122" s="335">
        <f t="shared" si="336"/>
        <v>153.78237000000001</v>
      </c>
      <c r="S122" s="308"/>
      <c r="T122" s="335">
        <f>SUM(T119:T121)</f>
        <v>205.14941999999996</v>
      </c>
      <c r="U122" s="335">
        <f>SUM(U119:U121)</f>
        <v>215.21720999999997</v>
      </c>
      <c r="V122" s="335">
        <f t="shared" ref="V122:AC122" si="395">SUM(V119:V121)</f>
        <v>226.38003</v>
      </c>
      <c r="W122" s="335">
        <f t="shared" si="395"/>
        <v>0</v>
      </c>
      <c r="X122" s="335">
        <f t="shared" si="395"/>
        <v>0</v>
      </c>
      <c r="Y122" s="335">
        <f t="shared" si="395"/>
        <v>0</v>
      </c>
      <c r="Z122" s="335">
        <f t="shared" si="395"/>
        <v>0</v>
      </c>
      <c r="AA122" s="335">
        <f t="shared" si="395"/>
        <v>0</v>
      </c>
      <c r="AB122" s="335">
        <f t="shared" si="395"/>
        <v>0</v>
      </c>
      <c r="AC122" s="335">
        <f t="shared" si="395"/>
        <v>0</v>
      </c>
      <c r="AD122" s="335">
        <f t="shared" si="337"/>
        <v>215.21720999999997</v>
      </c>
      <c r="AE122" s="308"/>
      <c r="AF122" s="335">
        <f>SUM(AF119:AF121)</f>
        <v>1759.09428</v>
      </c>
      <c r="AG122" s="335">
        <f>SUM(AG119:AG121)</f>
        <v>1845.3884400000002</v>
      </c>
      <c r="AH122" s="335">
        <f t="shared" ref="AH122:AO122" si="396">SUM(AH119:AH121)</f>
        <v>1941.07212</v>
      </c>
      <c r="AI122" s="335">
        <f t="shared" si="396"/>
        <v>0</v>
      </c>
      <c r="AJ122" s="335">
        <f t="shared" si="396"/>
        <v>0</v>
      </c>
      <c r="AK122" s="335">
        <f t="shared" si="396"/>
        <v>0</v>
      </c>
      <c r="AL122" s="335">
        <f t="shared" si="396"/>
        <v>0</v>
      </c>
      <c r="AM122" s="335">
        <f t="shared" si="396"/>
        <v>0</v>
      </c>
      <c r="AN122" s="335">
        <f t="shared" si="396"/>
        <v>0</v>
      </c>
      <c r="AO122" s="335">
        <f t="shared" si="396"/>
        <v>0</v>
      </c>
      <c r="AP122" s="335">
        <f t="shared" si="348"/>
        <v>1845.3884400000002</v>
      </c>
      <c r="AQ122" s="308"/>
      <c r="AR122" s="335">
        <f>SUM(AR119:AR121)</f>
        <v>2461.7930399999996</v>
      </c>
      <c r="AS122" s="335">
        <f t="shared" ref="AS122:BA122" si="397">SUM(AS119:AS121)</f>
        <v>2582.6065199999994</v>
      </c>
      <c r="AT122" s="335">
        <f t="shared" si="397"/>
        <v>2716.5603600000004</v>
      </c>
      <c r="AU122" s="335">
        <f t="shared" si="397"/>
        <v>0</v>
      </c>
      <c r="AV122" s="335">
        <f t="shared" si="397"/>
        <v>0</v>
      </c>
      <c r="AW122" s="335">
        <f t="shared" si="397"/>
        <v>0</v>
      </c>
      <c r="AX122" s="335">
        <f t="shared" si="397"/>
        <v>0</v>
      </c>
      <c r="AY122" s="335">
        <f t="shared" si="397"/>
        <v>0</v>
      </c>
      <c r="AZ122" s="335">
        <f t="shared" si="397"/>
        <v>0</v>
      </c>
      <c r="BA122" s="335">
        <f t="shared" si="397"/>
        <v>0</v>
      </c>
      <c r="BB122" s="335">
        <f t="shared" si="359"/>
        <v>2582.6065199999994</v>
      </c>
      <c r="BC122" s="11"/>
      <c r="BF122" s="33"/>
      <c r="BG122" s="33"/>
      <c r="BH122" s="33"/>
    </row>
    <row r="123" spans="1:60" s="16" customFormat="1" ht="12.95" customHeight="1" thickTop="1" thickBot="1" x14ac:dyDescent="0.25">
      <c r="B123" s="26"/>
      <c r="C123" s="28" t="s">
        <v>335</v>
      </c>
      <c r="D123" s="28"/>
      <c r="E123" s="91"/>
      <c r="F123" s="27"/>
      <c r="G123" s="26"/>
      <c r="H123" s="471">
        <f>H118+H122</f>
        <v>817.25532160650005</v>
      </c>
      <c r="I123" s="335">
        <f t="shared" ref="I123" si="398">I118+I122</f>
        <v>833.75285560650013</v>
      </c>
      <c r="J123" s="335">
        <f t="shared" ref="J123" si="399">J118+J122</f>
        <v>882.06101252710005</v>
      </c>
      <c r="K123" s="335">
        <f t="shared" ref="K123" si="400">K118+K122</f>
        <v>0</v>
      </c>
      <c r="L123" s="335">
        <f t="shared" ref="L123" si="401">L118+L122</f>
        <v>0</v>
      </c>
      <c r="M123" s="335">
        <f t="shared" ref="M123" si="402">M118+M122</f>
        <v>0</v>
      </c>
      <c r="N123" s="335">
        <f t="shared" ref="N123" si="403">N118+N122</f>
        <v>0</v>
      </c>
      <c r="O123" s="335">
        <f t="shared" ref="O123" si="404">O118+O122</f>
        <v>0</v>
      </c>
      <c r="P123" s="335">
        <f t="shared" ref="P123" si="405">P118+P122</f>
        <v>0</v>
      </c>
      <c r="Q123" s="335">
        <f t="shared" ref="Q123" si="406">Q118+Q122</f>
        <v>0</v>
      </c>
      <c r="R123" s="335">
        <f t="shared" ref="R123" si="407">R118+R122</f>
        <v>833.75285560650013</v>
      </c>
      <c r="S123" s="308"/>
      <c r="T123" s="335">
        <f>T118+T122</f>
        <v>1134.5874693858</v>
      </c>
      <c r="U123" s="335">
        <f t="shared" ref="U123" si="408">U118+U122</f>
        <v>1174.2088816485</v>
      </c>
      <c r="V123" s="335">
        <f t="shared" ref="V123" si="409">V118+V122</f>
        <v>945.44464500000004</v>
      </c>
      <c r="W123" s="335">
        <f t="shared" ref="W123" si="410">W118+W122</f>
        <v>0</v>
      </c>
      <c r="X123" s="335">
        <f t="shared" ref="X123" si="411">X118+X122</f>
        <v>0</v>
      </c>
      <c r="Y123" s="335">
        <f t="shared" ref="Y123" si="412">Y118+Y122</f>
        <v>0</v>
      </c>
      <c r="Z123" s="335">
        <f t="shared" ref="Z123" si="413">Z118+Z122</f>
        <v>0</v>
      </c>
      <c r="AA123" s="335">
        <f t="shared" ref="AA123" si="414">AA118+AA122</f>
        <v>0</v>
      </c>
      <c r="AB123" s="335">
        <f t="shared" ref="AB123" si="415">AB118+AB122</f>
        <v>0</v>
      </c>
      <c r="AC123" s="335">
        <f t="shared" ref="AC123" si="416">AC118+AC122</f>
        <v>0</v>
      </c>
      <c r="AD123" s="335">
        <f t="shared" ref="AD123" si="417">AD118+AD122</f>
        <v>1174.2088816485</v>
      </c>
      <c r="AE123" s="308"/>
      <c r="AF123" s="335">
        <f>AF118+AF122</f>
        <v>9807.0638592779997</v>
      </c>
      <c r="AG123" s="335">
        <f t="shared" ref="AG123" si="418">AG118+AG122</f>
        <v>10005.034267278001</v>
      </c>
      <c r="AH123" s="335">
        <f t="shared" ref="AH123" si="419">AH118+AH122</f>
        <v>10584.732150325202</v>
      </c>
      <c r="AI123" s="335">
        <f t="shared" ref="AI123" si="420">AI118+AI122</f>
        <v>0</v>
      </c>
      <c r="AJ123" s="335">
        <f t="shared" ref="AJ123" si="421">AJ118+AJ122</f>
        <v>0</v>
      </c>
      <c r="AK123" s="335">
        <f t="shared" ref="AK123" si="422">AK118+AK122</f>
        <v>0</v>
      </c>
      <c r="AL123" s="335">
        <f t="shared" ref="AL123" si="423">AL118+AL122</f>
        <v>0</v>
      </c>
      <c r="AM123" s="335">
        <f t="shared" ref="AM123" si="424">AM118+AM122</f>
        <v>0</v>
      </c>
      <c r="AN123" s="335">
        <f t="shared" ref="AN123" si="425">AN118+AN122</f>
        <v>0</v>
      </c>
      <c r="AO123" s="335">
        <f t="shared" ref="AO123" si="426">AO118+AO122</f>
        <v>0</v>
      </c>
      <c r="AP123" s="335">
        <f t="shared" ref="AP123" si="427">AP118+AP122</f>
        <v>10005.034267278001</v>
      </c>
      <c r="AQ123" s="308"/>
      <c r="AR123" s="335">
        <f>AR118+AR122</f>
        <v>13615.049632629602</v>
      </c>
      <c r="AS123" s="335">
        <f t="shared" ref="AS123" si="428">AS118+AS122</f>
        <v>14090.506579781999</v>
      </c>
      <c r="AT123" s="335">
        <f t="shared" ref="AT123" si="429">AT118+AT122</f>
        <v>11345.335740000002</v>
      </c>
      <c r="AU123" s="335">
        <f t="shared" ref="AU123" si="430">AU118+AU122</f>
        <v>0</v>
      </c>
      <c r="AV123" s="335">
        <f t="shared" ref="AV123" si="431">AV118+AV122</f>
        <v>0</v>
      </c>
      <c r="AW123" s="335">
        <f t="shared" ref="AW123" si="432">AW118+AW122</f>
        <v>0</v>
      </c>
      <c r="AX123" s="335">
        <f t="shared" ref="AX123" si="433">AX118+AX122</f>
        <v>0</v>
      </c>
      <c r="AY123" s="335">
        <f t="shared" ref="AY123" si="434">AY118+AY122</f>
        <v>0</v>
      </c>
      <c r="AZ123" s="335">
        <f t="shared" ref="AZ123" si="435">AZ118+AZ122</f>
        <v>0</v>
      </c>
      <c r="BA123" s="335">
        <f t="shared" ref="BA123" si="436">BA118+BA122</f>
        <v>0</v>
      </c>
      <c r="BB123" s="335">
        <f t="shared" ref="BB123" si="437">BB118+BB122</f>
        <v>14090.506579781999</v>
      </c>
      <c r="BC123" s="11"/>
      <c r="BF123" s="33"/>
      <c r="BG123" s="33"/>
      <c r="BH123" s="33"/>
    </row>
    <row r="124" spans="1:60" s="16" customFormat="1" ht="12.95" customHeight="1" thickTop="1" x14ac:dyDescent="0.2">
      <c r="B124" s="26"/>
      <c r="C124" s="28"/>
      <c r="D124" s="28"/>
      <c r="E124" s="91"/>
      <c r="F124" s="27"/>
      <c r="G124" s="26"/>
      <c r="H124" s="312"/>
      <c r="I124" s="312"/>
      <c r="J124" s="312"/>
      <c r="K124" s="312"/>
      <c r="L124" s="312"/>
      <c r="M124" s="312"/>
      <c r="N124" s="312"/>
      <c r="O124" s="312"/>
      <c r="P124" s="312"/>
      <c r="Q124" s="312"/>
      <c r="R124" s="312"/>
      <c r="S124" s="308"/>
      <c r="T124" s="312"/>
      <c r="U124" s="312"/>
      <c r="V124" s="312"/>
      <c r="W124" s="312"/>
      <c r="X124" s="312"/>
      <c r="Y124" s="312"/>
      <c r="Z124" s="312"/>
      <c r="AA124" s="312"/>
      <c r="AB124" s="312"/>
      <c r="AC124" s="312"/>
      <c r="AD124" s="312"/>
      <c r="AE124" s="308"/>
      <c r="AF124" s="312"/>
      <c r="AG124" s="312"/>
      <c r="AH124" s="312"/>
      <c r="AI124" s="312"/>
      <c r="AJ124" s="312"/>
      <c r="AK124" s="312"/>
      <c r="AL124" s="312"/>
      <c r="AM124" s="312"/>
      <c r="AN124" s="312"/>
      <c r="AO124" s="312"/>
      <c r="AP124" s="312"/>
      <c r="AQ124" s="308"/>
      <c r="AR124" s="312"/>
      <c r="AS124" s="312"/>
      <c r="AT124" s="312"/>
      <c r="AU124" s="312"/>
      <c r="AV124" s="312"/>
      <c r="AW124" s="312"/>
      <c r="AX124" s="312"/>
      <c r="AY124" s="312"/>
      <c r="AZ124" s="312"/>
      <c r="BA124" s="312"/>
      <c r="BB124" s="312"/>
      <c r="BC124" s="11"/>
      <c r="BF124" s="33"/>
      <c r="BG124" s="33"/>
      <c r="BH124" s="33"/>
    </row>
    <row r="125" spans="1:60" s="16" customFormat="1" ht="12.95" customHeight="1" thickBot="1" x14ac:dyDescent="0.25">
      <c r="B125" s="26"/>
      <c r="C125" s="43" t="s">
        <v>74</v>
      </c>
      <c r="D125" s="43"/>
      <c r="E125" s="17"/>
      <c r="F125" s="27"/>
      <c r="G125" s="26"/>
      <c r="H125" s="312"/>
      <c r="I125" s="312"/>
      <c r="J125" s="312"/>
      <c r="K125" s="312"/>
      <c r="L125" s="312"/>
      <c r="M125" s="312"/>
      <c r="N125" s="312"/>
      <c r="O125" s="312"/>
      <c r="P125" s="312"/>
      <c r="Q125" s="312"/>
      <c r="R125" s="312"/>
      <c r="S125" s="308"/>
      <c r="T125" s="312"/>
      <c r="U125" s="312"/>
      <c r="V125" s="312"/>
      <c r="W125" s="312"/>
      <c r="X125" s="312"/>
      <c r="Y125" s="312"/>
      <c r="Z125" s="312"/>
      <c r="AA125" s="312"/>
      <c r="AB125" s="312"/>
      <c r="AC125" s="312"/>
      <c r="AD125" s="312"/>
      <c r="AE125" s="308"/>
      <c r="AF125" s="312"/>
      <c r="AG125" s="312"/>
      <c r="AH125" s="312"/>
      <c r="AI125" s="312"/>
      <c r="AJ125" s="312"/>
      <c r="AK125" s="312"/>
      <c r="AL125" s="312"/>
      <c r="AM125" s="312"/>
      <c r="AN125" s="312"/>
      <c r="AO125" s="312"/>
      <c r="AP125" s="312"/>
      <c r="AQ125" s="308"/>
      <c r="AR125" s="312"/>
      <c r="AS125" s="312"/>
      <c r="AT125" s="312"/>
      <c r="AU125" s="312"/>
      <c r="AV125" s="312"/>
      <c r="AW125" s="312"/>
      <c r="AX125" s="312"/>
      <c r="AY125" s="312"/>
      <c r="AZ125" s="312"/>
      <c r="BA125" s="312"/>
      <c r="BB125" s="312"/>
      <c r="BC125" s="11"/>
      <c r="BF125" s="33"/>
      <c r="BG125" s="33"/>
      <c r="BH125" s="33"/>
    </row>
    <row r="126" spans="1:60" s="16" customFormat="1" ht="12.95" customHeight="1" thickTop="1" thickBot="1" x14ac:dyDescent="0.25">
      <c r="B126" s="26"/>
      <c r="C126" s="26" t="s">
        <v>70</v>
      </c>
      <c r="D126" s="26"/>
      <c r="E126" s="17"/>
      <c r="F126" s="27"/>
      <c r="G126" s="26"/>
      <c r="H126" s="333"/>
      <c r="I126" s="333"/>
      <c r="J126" s="333"/>
      <c r="K126" s="333"/>
      <c r="L126" s="333"/>
      <c r="M126" s="333"/>
      <c r="N126" s="333"/>
      <c r="O126" s="333"/>
      <c r="P126" s="333"/>
      <c r="Q126" s="333"/>
      <c r="R126" s="333">
        <f t="shared" ref="R126:R133" si="438">H126*H$26+I126*I$26+J126*J$26+K126*K$26+L126*L$26+M126*M$26+N126*N$26+O126*O$26+P126*P$26+Q126*Q$26</f>
        <v>0</v>
      </c>
      <c r="S126" s="308"/>
      <c r="T126" s="333">
        <v>0</v>
      </c>
      <c r="U126" s="333">
        <v>0</v>
      </c>
      <c r="V126" s="333">
        <v>0</v>
      </c>
      <c r="W126" s="333">
        <v>0</v>
      </c>
      <c r="X126" s="333">
        <v>0</v>
      </c>
      <c r="Y126" s="333">
        <v>0</v>
      </c>
      <c r="Z126" s="333">
        <v>0</v>
      </c>
      <c r="AA126" s="333">
        <v>0</v>
      </c>
      <c r="AB126" s="333">
        <v>0</v>
      </c>
      <c r="AC126" s="333">
        <v>0</v>
      </c>
      <c r="AD126" s="333">
        <v>0</v>
      </c>
      <c r="AE126" s="308"/>
      <c r="AF126" s="333">
        <f>H126*12</f>
        <v>0</v>
      </c>
      <c r="AG126" s="333">
        <f t="shared" ref="AG126:AG132" si="439">I126*12</f>
        <v>0</v>
      </c>
      <c r="AH126" s="333">
        <f t="shared" ref="AH126:AH132" si="440">J126*12</f>
        <v>0</v>
      </c>
      <c r="AI126" s="333">
        <f t="shared" ref="AI126:AI132" si="441">K126*12</f>
        <v>0</v>
      </c>
      <c r="AJ126" s="333">
        <f t="shared" ref="AJ126:AJ132" si="442">L126*12</f>
        <v>0</v>
      </c>
      <c r="AK126" s="333">
        <f t="shared" ref="AK126:AK132" si="443">M126*12</f>
        <v>0</v>
      </c>
      <c r="AL126" s="333">
        <f t="shared" ref="AL126:AL132" si="444">N126*12</f>
        <v>0</v>
      </c>
      <c r="AM126" s="333">
        <f t="shared" ref="AM126:AM132" si="445">O126*12</f>
        <v>0</v>
      </c>
      <c r="AN126" s="333">
        <f t="shared" ref="AN126:AN132" si="446">P126*12</f>
        <v>0</v>
      </c>
      <c r="AO126" s="333">
        <f t="shared" ref="AO126:AO132" si="447">Q126*12</f>
        <v>0</v>
      </c>
      <c r="AP126" s="337">
        <f t="shared" ref="AP126:AP133" si="448">AF126*AF$26+AG126*AG$26+AH126*AH$26+AI126*AI$26+AJ126*AJ$26+AK126*AK$26+AL126*AL$26+AM126*AM$26+AN126*AN$26+AO126*AO$26</f>
        <v>0</v>
      </c>
      <c r="AQ126" s="308"/>
      <c r="AR126" s="333">
        <f t="shared" ref="AR126:AR132" si="449">T126*12</f>
        <v>0</v>
      </c>
      <c r="AS126" s="333">
        <f t="shared" ref="AS126:AS132" si="450">U126*12</f>
        <v>0</v>
      </c>
      <c r="AT126" s="333">
        <f t="shared" ref="AT126:AT132" si="451">V126*12</f>
        <v>0</v>
      </c>
      <c r="AU126" s="333">
        <f t="shared" ref="AU126:AU132" si="452">W126*12</f>
        <v>0</v>
      </c>
      <c r="AV126" s="333">
        <f t="shared" ref="AV126:AV132" si="453">X126*12</f>
        <v>0</v>
      </c>
      <c r="AW126" s="333">
        <f t="shared" ref="AW126:AW132" si="454">Y126*12</f>
        <v>0</v>
      </c>
      <c r="AX126" s="333">
        <f t="shared" ref="AX126:AX132" si="455">Z126*12</f>
        <v>0</v>
      </c>
      <c r="AY126" s="333">
        <f t="shared" ref="AY126:AY132" si="456">AA126*12</f>
        <v>0</v>
      </c>
      <c r="AZ126" s="333">
        <f t="shared" ref="AZ126:AZ132" si="457">AB126*12</f>
        <v>0</v>
      </c>
      <c r="BA126" s="333">
        <f t="shared" ref="BA126:BA132" si="458">AC126*12</f>
        <v>0</v>
      </c>
      <c r="BB126" s="337">
        <f t="shared" ref="BB126:BB133" si="459">AR126*AR$26+AS126*AS$26+AT126*AT$26+AU126*AU$26+AV126*AV$26+AW126*AW$26+AX126*AX$26+AY126*AY$26+AZ126*AZ$26+BA126*BA$26</f>
        <v>0</v>
      </c>
      <c r="BC126" s="11"/>
      <c r="BF126" s="33"/>
      <c r="BG126" s="33"/>
      <c r="BH126" s="33"/>
    </row>
    <row r="127" spans="1:60" s="16" customFormat="1" ht="12.95" customHeight="1" thickTop="1" thickBot="1" x14ac:dyDescent="0.25">
      <c r="B127" s="26"/>
      <c r="C127" s="26" t="s">
        <v>71</v>
      </c>
      <c r="D127" s="26"/>
      <c r="E127" s="17"/>
      <c r="F127" s="27"/>
      <c r="G127" s="26"/>
      <c r="H127" s="333"/>
      <c r="I127" s="333"/>
      <c r="J127" s="333"/>
      <c r="K127" s="333"/>
      <c r="L127" s="333"/>
      <c r="M127" s="333"/>
      <c r="N127" s="333"/>
      <c r="O127" s="333"/>
      <c r="P127" s="333"/>
      <c r="Q127" s="333"/>
      <c r="R127" s="333">
        <f t="shared" si="438"/>
        <v>0</v>
      </c>
      <c r="S127" s="308"/>
      <c r="T127" s="333">
        <v>0</v>
      </c>
      <c r="U127" s="333">
        <v>0</v>
      </c>
      <c r="V127" s="333">
        <v>0</v>
      </c>
      <c r="W127" s="333">
        <v>0</v>
      </c>
      <c r="X127" s="333">
        <v>0</v>
      </c>
      <c r="Y127" s="333">
        <v>0</v>
      </c>
      <c r="Z127" s="333">
        <v>0</v>
      </c>
      <c r="AA127" s="333">
        <v>0</v>
      </c>
      <c r="AB127" s="333">
        <v>0</v>
      </c>
      <c r="AC127" s="333">
        <v>0</v>
      </c>
      <c r="AD127" s="333">
        <v>0</v>
      </c>
      <c r="AE127" s="308"/>
      <c r="AF127" s="333">
        <f t="shared" ref="AF127:AF132" si="460">H127*12</f>
        <v>0</v>
      </c>
      <c r="AG127" s="333">
        <f t="shared" si="439"/>
        <v>0</v>
      </c>
      <c r="AH127" s="333">
        <f t="shared" si="440"/>
        <v>0</v>
      </c>
      <c r="AI127" s="333">
        <f t="shared" si="441"/>
        <v>0</v>
      </c>
      <c r="AJ127" s="333">
        <f t="shared" si="442"/>
        <v>0</v>
      </c>
      <c r="AK127" s="333">
        <f t="shared" si="443"/>
        <v>0</v>
      </c>
      <c r="AL127" s="333">
        <f t="shared" si="444"/>
        <v>0</v>
      </c>
      <c r="AM127" s="333">
        <f t="shared" si="445"/>
        <v>0</v>
      </c>
      <c r="AN127" s="333">
        <f t="shared" si="446"/>
        <v>0</v>
      </c>
      <c r="AO127" s="333">
        <f t="shared" si="447"/>
        <v>0</v>
      </c>
      <c r="AP127" s="337">
        <f t="shared" si="448"/>
        <v>0</v>
      </c>
      <c r="AQ127" s="308"/>
      <c r="AR127" s="333">
        <f t="shared" si="449"/>
        <v>0</v>
      </c>
      <c r="AS127" s="333">
        <f t="shared" si="450"/>
        <v>0</v>
      </c>
      <c r="AT127" s="333">
        <f t="shared" si="451"/>
        <v>0</v>
      </c>
      <c r="AU127" s="333">
        <f t="shared" si="452"/>
        <v>0</v>
      </c>
      <c r="AV127" s="333">
        <f t="shared" si="453"/>
        <v>0</v>
      </c>
      <c r="AW127" s="333">
        <f t="shared" si="454"/>
        <v>0</v>
      </c>
      <c r="AX127" s="333">
        <f t="shared" si="455"/>
        <v>0</v>
      </c>
      <c r="AY127" s="333">
        <f t="shared" si="456"/>
        <v>0</v>
      </c>
      <c r="AZ127" s="333">
        <f t="shared" si="457"/>
        <v>0</v>
      </c>
      <c r="BA127" s="333">
        <f t="shared" si="458"/>
        <v>0</v>
      </c>
      <c r="BB127" s="337">
        <f t="shared" si="459"/>
        <v>0</v>
      </c>
      <c r="BC127" s="11"/>
      <c r="BF127" s="33"/>
      <c r="BG127" s="33"/>
      <c r="BH127" s="33"/>
    </row>
    <row r="128" spans="1:60" ht="12.95" customHeight="1" thickTop="1" thickBot="1" x14ac:dyDescent="0.25">
      <c r="A128" s="16"/>
      <c r="B128" s="26"/>
      <c r="C128" s="26" t="s">
        <v>72</v>
      </c>
      <c r="D128" s="26"/>
      <c r="F128" s="27"/>
      <c r="G128" s="26"/>
      <c r="H128" s="333"/>
      <c r="I128" s="333"/>
      <c r="J128" s="333"/>
      <c r="K128" s="333"/>
      <c r="L128" s="333"/>
      <c r="M128" s="333"/>
      <c r="N128" s="333"/>
      <c r="O128" s="333"/>
      <c r="P128" s="333"/>
      <c r="Q128" s="333"/>
      <c r="R128" s="333">
        <f t="shared" si="438"/>
        <v>0</v>
      </c>
      <c r="S128" s="308"/>
      <c r="T128" s="333">
        <v>0</v>
      </c>
      <c r="U128" s="333">
        <v>0</v>
      </c>
      <c r="V128" s="333">
        <v>0</v>
      </c>
      <c r="W128" s="333">
        <v>0</v>
      </c>
      <c r="X128" s="333">
        <v>0</v>
      </c>
      <c r="Y128" s="333">
        <v>0</v>
      </c>
      <c r="Z128" s="333">
        <v>0</v>
      </c>
      <c r="AA128" s="333">
        <v>0</v>
      </c>
      <c r="AB128" s="333">
        <v>0</v>
      </c>
      <c r="AC128" s="333">
        <v>0</v>
      </c>
      <c r="AD128" s="333">
        <v>0</v>
      </c>
      <c r="AE128" s="308"/>
      <c r="AF128" s="333">
        <f t="shared" si="460"/>
        <v>0</v>
      </c>
      <c r="AG128" s="333">
        <f t="shared" si="439"/>
        <v>0</v>
      </c>
      <c r="AH128" s="333">
        <f t="shared" si="440"/>
        <v>0</v>
      </c>
      <c r="AI128" s="333">
        <f t="shared" si="441"/>
        <v>0</v>
      </c>
      <c r="AJ128" s="333">
        <f t="shared" si="442"/>
        <v>0</v>
      </c>
      <c r="AK128" s="333">
        <f t="shared" si="443"/>
        <v>0</v>
      </c>
      <c r="AL128" s="333">
        <f t="shared" si="444"/>
        <v>0</v>
      </c>
      <c r="AM128" s="333">
        <f t="shared" si="445"/>
        <v>0</v>
      </c>
      <c r="AN128" s="333">
        <f t="shared" si="446"/>
        <v>0</v>
      </c>
      <c r="AO128" s="333">
        <f t="shared" si="447"/>
        <v>0</v>
      </c>
      <c r="AP128" s="337">
        <f t="shared" si="448"/>
        <v>0</v>
      </c>
      <c r="AQ128" s="308"/>
      <c r="AR128" s="333">
        <f t="shared" si="449"/>
        <v>0</v>
      </c>
      <c r="AS128" s="333">
        <f t="shared" si="450"/>
        <v>0</v>
      </c>
      <c r="AT128" s="333">
        <f t="shared" si="451"/>
        <v>0</v>
      </c>
      <c r="AU128" s="333">
        <f t="shared" si="452"/>
        <v>0</v>
      </c>
      <c r="AV128" s="333">
        <f t="shared" si="453"/>
        <v>0</v>
      </c>
      <c r="AW128" s="333">
        <f t="shared" si="454"/>
        <v>0</v>
      </c>
      <c r="AX128" s="333">
        <f t="shared" si="455"/>
        <v>0</v>
      </c>
      <c r="AY128" s="333">
        <f t="shared" si="456"/>
        <v>0</v>
      </c>
      <c r="AZ128" s="333">
        <f t="shared" si="457"/>
        <v>0</v>
      </c>
      <c r="BA128" s="333">
        <f t="shared" si="458"/>
        <v>0</v>
      </c>
      <c r="BB128" s="337">
        <f t="shared" si="459"/>
        <v>0</v>
      </c>
      <c r="BC128" s="99"/>
      <c r="BD128" s="84"/>
      <c r="BE128" s="84"/>
      <c r="BF128" s="84"/>
      <c r="BG128" s="84"/>
      <c r="BH128" s="84"/>
    </row>
    <row r="129" spans="1:60" s="16" customFormat="1" ht="12.95" customHeight="1" thickTop="1" thickBot="1" x14ac:dyDescent="0.25">
      <c r="A129" s="17"/>
      <c r="B129" s="26"/>
      <c r="C129" s="26" t="s">
        <v>93</v>
      </c>
      <c r="D129" s="26"/>
      <c r="E129" s="17"/>
      <c r="F129" s="27"/>
      <c r="G129" s="26"/>
      <c r="H129" s="333"/>
      <c r="I129" s="333"/>
      <c r="J129" s="333"/>
      <c r="K129" s="333"/>
      <c r="L129" s="333"/>
      <c r="M129" s="333"/>
      <c r="N129" s="333"/>
      <c r="O129" s="333"/>
      <c r="P129" s="333"/>
      <c r="Q129" s="333"/>
      <c r="R129" s="333">
        <f t="shared" si="438"/>
        <v>0</v>
      </c>
      <c r="S129" s="308"/>
      <c r="T129" s="333">
        <v>0</v>
      </c>
      <c r="U129" s="333">
        <v>0</v>
      </c>
      <c r="V129" s="333">
        <v>0</v>
      </c>
      <c r="W129" s="333">
        <v>0</v>
      </c>
      <c r="X129" s="333">
        <v>0</v>
      </c>
      <c r="Y129" s="333">
        <v>0</v>
      </c>
      <c r="Z129" s="333">
        <v>0</v>
      </c>
      <c r="AA129" s="333">
        <v>0</v>
      </c>
      <c r="AB129" s="333">
        <v>0</v>
      </c>
      <c r="AC129" s="333">
        <v>0</v>
      </c>
      <c r="AD129" s="333">
        <v>0</v>
      </c>
      <c r="AE129" s="308"/>
      <c r="AF129" s="333">
        <f t="shared" si="460"/>
        <v>0</v>
      </c>
      <c r="AG129" s="333">
        <f t="shared" si="439"/>
        <v>0</v>
      </c>
      <c r="AH129" s="333">
        <f t="shared" si="440"/>
        <v>0</v>
      </c>
      <c r="AI129" s="333">
        <f t="shared" si="441"/>
        <v>0</v>
      </c>
      <c r="AJ129" s="333">
        <f t="shared" si="442"/>
        <v>0</v>
      </c>
      <c r="AK129" s="333">
        <f t="shared" si="443"/>
        <v>0</v>
      </c>
      <c r="AL129" s="333">
        <f t="shared" si="444"/>
        <v>0</v>
      </c>
      <c r="AM129" s="333">
        <f t="shared" si="445"/>
        <v>0</v>
      </c>
      <c r="AN129" s="333">
        <f t="shared" si="446"/>
        <v>0</v>
      </c>
      <c r="AO129" s="333">
        <f t="shared" si="447"/>
        <v>0</v>
      </c>
      <c r="AP129" s="337">
        <f t="shared" si="448"/>
        <v>0</v>
      </c>
      <c r="AQ129" s="308"/>
      <c r="AR129" s="333">
        <f t="shared" si="449"/>
        <v>0</v>
      </c>
      <c r="AS129" s="333">
        <f t="shared" si="450"/>
        <v>0</v>
      </c>
      <c r="AT129" s="333">
        <f t="shared" si="451"/>
        <v>0</v>
      </c>
      <c r="AU129" s="333">
        <f t="shared" si="452"/>
        <v>0</v>
      </c>
      <c r="AV129" s="333">
        <f t="shared" si="453"/>
        <v>0</v>
      </c>
      <c r="AW129" s="333">
        <f t="shared" si="454"/>
        <v>0</v>
      </c>
      <c r="AX129" s="333">
        <f t="shared" si="455"/>
        <v>0</v>
      </c>
      <c r="AY129" s="333">
        <f t="shared" si="456"/>
        <v>0</v>
      </c>
      <c r="AZ129" s="333">
        <f t="shared" si="457"/>
        <v>0</v>
      </c>
      <c r="BA129" s="333">
        <f t="shared" si="458"/>
        <v>0</v>
      </c>
      <c r="BB129" s="337">
        <f t="shared" si="459"/>
        <v>0</v>
      </c>
      <c r="BC129" s="11"/>
      <c r="BF129" s="33"/>
      <c r="BG129" s="33"/>
      <c r="BH129" s="33"/>
    </row>
    <row r="130" spans="1:60" s="16" customFormat="1" ht="12.95" customHeight="1" thickTop="1" thickBot="1" x14ac:dyDescent="0.25">
      <c r="B130" s="26"/>
      <c r="C130" s="26" t="s">
        <v>73</v>
      </c>
      <c r="D130" s="26"/>
      <c r="E130" s="17"/>
      <c r="F130" s="27"/>
      <c r="G130" s="26"/>
      <c r="H130" s="333"/>
      <c r="I130" s="333"/>
      <c r="J130" s="333"/>
      <c r="K130" s="333"/>
      <c r="L130" s="333"/>
      <c r="M130" s="333"/>
      <c r="N130" s="333"/>
      <c r="O130" s="333"/>
      <c r="P130" s="333"/>
      <c r="Q130" s="333"/>
      <c r="R130" s="333">
        <f t="shared" si="438"/>
        <v>0</v>
      </c>
      <c r="S130" s="308"/>
      <c r="T130" s="333">
        <v>0</v>
      </c>
      <c r="U130" s="333">
        <v>0</v>
      </c>
      <c r="V130" s="333">
        <v>0</v>
      </c>
      <c r="W130" s="333">
        <v>0</v>
      </c>
      <c r="X130" s="333">
        <v>0</v>
      </c>
      <c r="Y130" s="333">
        <v>0</v>
      </c>
      <c r="Z130" s="333">
        <v>0</v>
      </c>
      <c r="AA130" s="333">
        <v>0</v>
      </c>
      <c r="AB130" s="333">
        <v>0</v>
      </c>
      <c r="AC130" s="333">
        <v>0</v>
      </c>
      <c r="AD130" s="333">
        <v>0</v>
      </c>
      <c r="AE130" s="308"/>
      <c r="AF130" s="333">
        <f t="shared" si="460"/>
        <v>0</v>
      </c>
      <c r="AG130" s="333">
        <f t="shared" si="439"/>
        <v>0</v>
      </c>
      <c r="AH130" s="333">
        <f t="shared" si="440"/>
        <v>0</v>
      </c>
      <c r="AI130" s="333">
        <f t="shared" si="441"/>
        <v>0</v>
      </c>
      <c r="AJ130" s="333">
        <f t="shared" si="442"/>
        <v>0</v>
      </c>
      <c r="AK130" s="333">
        <f t="shared" si="443"/>
        <v>0</v>
      </c>
      <c r="AL130" s="333">
        <f t="shared" si="444"/>
        <v>0</v>
      </c>
      <c r="AM130" s="333">
        <f t="shared" si="445"/>
        <v>0</v>
      </c>
      <c r="AN130" s="333">
        <f t="shared" si="446"/>
        <v>0</v>
      </c>
      <c r="AO130" s="333">
        <f t="shared" si="447"/>
        <v>0</v>
      </c>
      <c r="AP130" s="337">
        <f t="shared" si="448"/>
        <v>0</v>
      </c>
      <c r="AQ130" s="308"/>
      <c r="AR130" s="333">
        <f t="shared" si="449"/>
        <v>0</v>
      </c>
      <c r="AS130" s="333">
        <f t="shared" si="450"/>
        <v>0</v>
      </c>
      <c r="AT130" s="333">
        <f t="shared" si="451"/>
        <v>0</v>
      </c>
      <c r="AU130" s="333">
        <f t="shared" si="452"/>
        <v>0</v>
      </c>
      <c r="AV130" s="333">
        <f t="shared" si="453"/>
        <v>0</v>
      </c>
      <c r="AW130" s="333">
        <f t="shared" si="454"/>
        <v>0</v>
      </c>
      <c r="AX130" s="333">
        <f t="shared" si="455"/>
        <v>0</v>
      </c>
      <c r="AY130" s="333">
        <f t="shared" si="456"/>
        <v>0</v>
      </c>
      <c r="AZ130" s="333">
        <f t="shared" si="457"/>
        <v>0</v>
      </c>
      <c r="BA130" s="333">
        <f t="shared" si="458"/>
        <v>0</v>
      </c>
      <c r="BB130" s="337">
        <f t="shared" si="459"/>
        <v>0</v>
      </c>
      <c r="BC130" s="11"/>
      <c r="BF130" s="33"/>
      <c r="BG130" s="33"/>
      <c r="BH130" s="33"/>
    </row>
    <row r="131" spans="1:60" s="16" customFormat="1" ht="12.95" customHeight="1" thickTop="1" thickBot="1" x14ac:dyDescent="0.25">
      <c r="B131" s="26"/>
      <c r="C131" s="56" t="s">
        <v>93</v>
      </c>
      <c r="D131" s="26"/>
      <c r="E131" s="17"/>
      <c r="F131" s="27"/>
      <c r="G131" s="26"/>
      <c r="H131" s="333"/>
      <c r="I131" s="333"/>
      <c r="J131" s="333"/>
      <c r="K131" s="333"/>
      <c r="L131" s="333"/>
      <c r="M131" s="333"/>
      <c r="N131" s="333"/>
      <c r="O131" s="333"/>
      <c r="P131" s="333"/>
      <c r="Q131" s="333"/>
      <c r="R131" s="333">
        <f t="shared" si="438"/>
        <v>0</v>
      </c>
      <c r="S131" s="308"/>
      <c r="T131" s="333">
        <v>0</v>
      </c>
      <c r="U131" s="333">
        <v>0</v>
      </c>
      <c r="V131" s="333">
        <v>0</v>
      </c>
      <c r="W131" s="333">
        <v>0</v>
      </c>
      <c r="X131" s="333">
        <v>0</v>
      </c>
      <c r="Y131" s="333">
        <v>0</v>
      </c>
      <c r="Z131" s="333">
        <v>0</v>
      </c>
      <c r="AA131" s="333">
        <v>0</v>
      </c>
      <c r="AB131" s="333">
        <v>0</v>
      </c>
      <c r="AC131" s="333">
        <v>0</v>
      </c>
      <c r="AD131" s="333">
        <v>0</v>
      </c>
      <c r="AE131" s="308"/>
      <c r="AF131" s="333">
        <f t="shared" si="460"/>
        <v>0</v>
      </c>
      <c r="AG131" s="333">
        <f t="shared" si="439"/>
        <v>0</v>
      </c>
      <c r="AH131" s="333">
        <f t="shared" si="440"/>
        <v>0</v>
      </c>
      <c r="AI131" s="333">
        <f t="shared" si="441"/>
        <v>0</v>
      </c>
      <c r="AJ131" s="333">
        <f t="shared" si="442"/>
        <v>0</v>
      </c>
      <c r="AK131" s="333">
        <f t="shared" si="443"/>
        <v>0</v>
      </c>
      <c r="AL131" s="333">
        <f t="shared" si="444"/>
        <v>0</v>
      </c>
      <c r="AM131" s="333">
        <f t="shared" si="445"/>
        <v>0</v>
      </c>
      <c r="AN131" s="333">
        <f t="shared" si="446"/>
        <v>0</v>
      </c>
      <c r="AO131" s="333">
        <f t="shared" si="447"/>
        <v>0</v>
      </c>
      <c r="AP131" s="337">
        <f t="shared" si="448"/>
        <v>0</v>
      </c>
      <c r="AQ131" s="308"/>
      <c r="AR131" s="333">
        <f t="shared" si="449"/>
        <v>0</v>
      </c>
      <c r="AS131" s="333">
        <f t="shared" si="450"/>
        <v>0</v>
      </c>
      <c r="AT131" s="333">
        <f t="shared" si="451"/>
        <v>0</v>
      </c>
      <c r="AU131" s="333">
        <f t="shared" si="452"/>
        <v>0</v>
      </c>
      <c r="AV131" s="333">
        <f t="shared" si="453"/>
        <v>0</v>
      </c>
      <c r="AW131" s="333">
        <f t="shared" si="454"/>
        <v>0</v>
      </c>
      <c r="AX131" s="333">
        <f t="shared" si="455"/>
        <v>0</v>
      </c>
      <c r="AY131" s="333">
        <f t="shared" si="456"/>
        <v>0</v>
      </c>
      <c r="AZ131" s="333">
        <f t="shared" si="457"/>
        <v>0</v>
      </c>
      <c r="BA131" s="333">
        <f t="shared" si="458"/>
        <v>0</v>
      </c>
      <c r="BB131" s="337">
        <f t="shared" si="459"/>
        <v>0</v>
      </c>
      <c r="BC131" s="11"/>
      <c r="BF131" s="33"/>
      <c r="BG131" s="33"/>
      <c r="BH131" s="33"/>
    </row>
    <row r="132" spans="1:60" s="16" customFormat="1" ht="12.95" customHeight="1" thickTop="1" thickBot="1" x14ac:dyDescent="0.25">
      <c r="B132" s="26"/>
      <c r="C132" s="56" t="s">
        <v>73</v>
      </c>
      <c r="D132" s="26"/>
      <c r="E132" s="17"/>
      <c r="F132" s="27"/>
      <c r="G132" s="26"/>
      <c r="H132" s="333"/>
      <c r="I132" s="333"/>
      <c r="J132" s="333"/>
      <c r="K132" s="333"/>
      <c r="L132" s="333"/>
      <c r="M132" s="333"/>
      <c r="N132" s="333"/>
      <c r="O132" s="333"/>
      <c r="P132" s="333"/>
      <c r="Q132" s="333"/>
      <c r="R132" s="333">
        <f t="shared" si="438"/>
        <v>0</v>
      </c>
      <c r="S132" s="308"/>
      <c r="T132" s="333">
        <v>0</v>
      </c>
      <c r="U132" s="333">
        <v>0</v>
      </c>
      <c r="V132" s="333">
        <v>0</v>
      </c>
      <c r="W132" s="333">
        <v>0</v>
      </c>
      <c r="X132" s="333">
        <v>0</v>
      </c>
      <c r="Y132" s="333">
        <v>0</v>
      </c>
      <c r="Z132" s="333">
        <v>0</v>
      </c>
      <c r="AA132" s="333">
        <v>0</v>
      </c>
      <c r="AB132" s="333">
        <v>0</v>
      </c>
      <c r="AC132" s="333">
        <v>0</v>
      </c>
      <c r="AD132" s="333">
        <v>0</v>
      </c>
      <c r="AE132" s="308"/>
      <c r="AF132" s="333">
        <f t="shared" si="460"/>
        <v>0</v>
      </c>
      <c r="AG132" s="333">
        <f t="shared" si="439"/>
        <v>0</v>
      </c>
      <c r="AH132" s="333">
        <f t="shared" si="440"/>
        <v>0</v>
      </c>
      <c r="AI132" s="333">
        <f t="shared" si="441"/>
        <v>0</v>
      </c>
      <c r="AJ132" s="333">
        <f t="shared" si="442"/>
        <v>0</v>
      </c>
      <c r="AK132" s="333">
        <f t="shared" si="443"/>
        <v>0</v>
      </c>
      <c r="AL132" s="333">
        <f t="shared" si="444"/>
        <v>0</v>
      </c>
      <c r="AM132" s="333">
        <f t="shared" si="445"/>
        <v>0</v>
      </c>
      <c r="AN132" s="333">
        <f t="shared" si="446"/>
        <v>0</v>
      </c>
      <c r="AO132" s="333">
        <f t="shared" si="447"/>
        <v>0</v>
      </c>
      <c r="AP132" s="337">
        <f t="shared" si="448"/>
        <v>0</v>
      </c>
      <c r="AQ132" s="308"/>
      <c r="AR132" s="333">
        <f t="shared" si="449"/>
        <v>0</v>
      </c>
      <c r="AS132" s="333">
        <f t="shared" si="450"/>
        <v>0</v>
      </c>
      <c r="AT132" s="333">
        <f t="shared" si="451"/>
        <v>0</v>
      </c>
      <c r="AU132" s="333">
        <f t="shared" si="452"/>
        <v>0</v>
      </c>
      <c r="AV132" s="333">
        <f t="shared" si="453"/>
        <v>0</v>
      </c>
      <c r="AW132" s="333">
        <f t="shared" si="454"/>
        <v>0</v>
      </c>
      <c r="AX132" s="333">
        <f t="shared" si="455"/>
        <v>0</v>
      </c>
      <c r="AY132" s="333">
        <f t="shared" si="456"/>
        <v>0</v>
      </c>
      <c r="AZ132" s="333">
        <f t="shared" si="457"/>
        <v>0</v>
      </c>
      <c r="BA132" s="333">
        <f t="shared" si="458"/>
        <v>0</v>
      </c>
      <c r="BB132" s="337">
        <f t="shared" si="459"/>
        <v>0</v>
      </c>
      <c r="BC132" s="11"/>
      <c r="BF132" s="33"/>
      <c r="BG132" s="33"/>
      <c r="BH132" s="33"/>
    </row>
    <row r="133" spans="1:60" ht="12.95" customHeight="1" collapsed="1" thickTop="1" thickBot="1" x14ac:dyDescent="0.25">
      <c r="B133" s="26"/>
      <c r="C133" s="28" t="s">
        <v>144</v>
      </c>
      <c r="D133" s="28"/>
      <c r="E133" s="91"/>
      <c r="F133" s="50"/>
      <c r="G133" s="43"/>
      <c r="H133" s="333"/>
      <c r="I133" s="333"/>
      <c r="J133" s="333"/>
      <c r="K133" s="333"/>
      <c r="L133" s="333"/>
      <c r="M133" s="333"/>
      <c r="N133" s="333"/>
      <c r="O133" s="333"/>
      <c r="P133" s="333"/>
      <c r="Q133" s="333"/>
      <c r="R133" s="339">
        <f t="shared" si="438"/>
        <v>0</v>
      </c>
      <c r="S133" s="308"/>
      <c r="T133" s="333">
        <v>0</v>
      </c>
      <c r="U133" s="333">
        <v>0</v>
      </c>
      <c r="V133" s="333">
        <v>0</v>
      </c>
      <c r="W133" s="333">
        <v>0</v>
      </c>
      <c r="X133" s="333">
        <v>0</v>
      </c>
      <c r="Y133" s="333">
        <v>0</v>
      </c>
      <c r="Z133" s="333">
        <v>0</v>
      </c>
      <c r="AA133" s="333">
        <v>0</v>
      </c>
      <c r="AB133" s="333">
        <v>0</v>
      </c>
      <c r="AC133" s="333">
        <v>0</v>
      </c>
      <c r="AD133" s="333">
        <v>0</v>
      </c>
      <c r="AE133" s="308"/>
      <c r="AF133" s="340">
        <f>SUM(AF126:AF132)</f>
        <v>0</v>
      </c>
      <c r="AG133" s="340">
        <f t="shared" ref="AG133:AO133" si="461">SUM(AG126:AG132)</f>
        <v>0</v>
      </c>
      <c r="AH133" s="340">
        <f t="shared" si="461"/>
        <v>0</v>
      </c>
      <c r="AI133" s="340">
        <f t="shared" si="461"/>
        <v>0</v>
      </c>
      <c r="AJ133" s="340">
        <f t="shared" si="461"/>
        <v>0</v>
      </c>
      <c r="AK133" s="340">
        <f t="shared" si="461"/>
        <v>0</v>
      </c>
      <c r="AL133" s="340">
        <f t="shared" si="461"/>
        <v>0</v>
      </c>
      <c r="AM133" s="340">
        <f t="shared" si="461"/>
        <v>0</v>
      </c>
      <c r="AN133" s="340">
        <f t="shared" si="461"/>
        <v>0</v>
      </c>
      <c r="AO133" s="340">
        <f t="shared" si="461"/>
        <v>0</v>
      </c>
      <c r="AP133" s="333">
        <f t="shared" si="448"/>
        <v>0</v>
      </c>
      <c r="AQ133" s="308"/>
      <c r="AR133" s="340">
        <f>'Invoer gegevens'!$F106</f>
        <v>0</v>
      </c>
      <c r="AS133" s="340">
        <f>IF(AS$20&lt;&gt;"[leeg]",'Invoer gegevens'!G106,0)</f>
        <v>0</v>
      </c>
      <c r="AT133" s="340">
        <f>IF(AT$20&lt;&gt;"[leeg]",'Invoer gegevens'!H106,0)</f>
        <v>0</v>
      </c>
      <c r="AU133" s="340">
        <f>IF(AU$20&lt;&gt;"[leeg]",'Invoer gegevens'!I106,0)</f>
        <v>0</v>
      </c>
      <c r="AV133" s="340">
        <f>IF(AV$20&lt;&gt;"[leeg]",'Invoer gegevens'!J106,0)</f>
        <v>0</v>
      </c>
      <c r="AW133" s="340">
        <f>IF(AW$20&lt;&gt;"[leeg]",'Invoer gegevens'!K106,0)</f>
        <v>0</v>
      </c>
      <c r="AX133" s="340">
        <f>IF(AX$20&lt;&gt;"[leeg]",'Invoer gegevens'!L106,0)</f>
        <v>0</v>
      </c>
      <c r="AY133" s="340">
        <f>IF(AY$20&lt;&gt;"[leeg]",'Invoer gegevens'!M106,0)</f>
        <v>0</v>
      </c>
      <c r="AZ133" s="340">
        <f>IF(AZ$20&lt;&gt;"[leeg]",'Invoer gegevens'!N106,0)</f>
        <v>0</v>
      </c>
      <c r="BA133" s="340">
        <f>IF(BA$20&lt;&gt;"[leeg]",'Invoer gegevens'!O106,0)</f>
        <v>0</v>
      </c>
      <c r="BB133" s="333">
        <f t="shared" si="459"/>
        <v>0</v>
      </c>
      <c r="BC133" s="99"/>
      <c r="BD133" s="84"/>
      <c r="BE133" s="84"/>
      <c r="BF133" s="84"/>
      <c r="BG133" s="84"/>
      <c r="BH133" s="84"/>
    </row>
    <row r="134" spans="1:60" ht="12.95" customHeight="1" thickTop="1" thickBot="1" x14ac:dyDescent="0.25">
      <c r="B134" s="26"/>
      <c r="C134" s="28"/>
      <c r="D134" s="28"/>
      <c r="E134" s="91"/>
      <c r="F134" s="50"/>
      <c r="G134" s="43"/>
      <c r="H134" s="310"/>
      <c r="I134" s="310"/>
      <c r="J134" s="310"/>
      <c r="K134" s="310"/>
      <c r="L134" s="310"/>
      <c r="M134" s="310"/>
      <c r="N134" s="310"/>
      <c r="O134" s="310"/>
      <c r="P134" s="310"/>
      <c r="Q134" s="310"/>
      <c r="R134" s="310"/>
      <c r="S134" s="308"/>
      <c r="T134" s="310"/>
      <c r="U134" s="310"/>
      <c r="V134" s="310"/>
      <c r="W134" s="310"/>
      <c r="X134" s="310"/>
      <c r="Y134" s="310"/>
      <c r="Z134" s="310"/>
      <c r="AA134" s="310"/>
      <c r="AB134" s="310"/>
      <c r="AC134" s="310"/>
      <c r="AD134" s="310"/>
      <c r="AE134" s="308"/>
      <c r="AF134" s="310"/>
      <c r="AG134" s="310"/>
      <c r="AH134" s="310"/>
      <c r="AI134" s="310"/>
      <c r="AJ134" s="310"/>
      <c r="AK134" s="310"/>
      <c r="AL134" s="310"/>
      <c r="AM134" s="310"/>
      <c r="AN134" s="310"/>
      <c r="AO134" s="310"/>
      <c r="AP134" s="310"/>
      <c r="AQ134" s="308"/>
      <c r="AR134" s="310"/>
      <c r="AS134" s="310"/>
      <c r="AT134" s="310"/>
      <c r="AU134" s="310"/>
      <c r="AV134" s="310"/>
      <c r="AW134" s="310"/>
      <c r="AX134" s="310"/>
      <c r="AY134" s="310"/>
      <c r="AZ134" s="310"/>
      <c r="BA134" s="310"/>
      <c r="BB134" s="310"/>
      <c r="BC134" s="99"/>
      <c r="BD134" s="84"/>
      <c r="BE134" s="84"/>
      <c r="BF134" s="84"/>
      <c r="BG134" s="84"/>
      <c r="BH134" s="84"/>
    </row>
    <row r="135" spans="1:60" ht="13.5" customHeight="1" thickTop="1" thickBot="1" x14ac:dyDescent="0.25">
      <c r="B135" s="26"/>
      <c r="C135" s="44" t="s">
        <v>167</v>
      </c>
      <c r="D135" s="44"/>
      <c r="E135" s="90"/>
      <c r="F135" s="57"/>
      <c r="G135" s="44"/>
      <c r="H135" s="338">
        <f t="shared" ref="H135:Q135" si="462">H118+H122+H133</f>
        <v>817.25532160650005</v>
      </c>
      <c r="I135" s="338">
        <f t="shared" si="462"/>
        <v>833.75285560650013</v>
      </c>
      <c r="J135" s="338">
        <f t="shared" si="462"/>
        <v>882.06101252710005</v>
      </c>
      <c r="K135" s="338">
        <f t="shared" si="462"/>
        <v>0</v>
      </c>
      <c r="L135" s="338">
        <f t="shared" si="462"/>
        <v>0</v>
      </c>
      <c r="M135" s="338">
        <f t="shared" si="462"/>
        <v>0</v>
      </c>
      <c r="N135" s="338">
        <f t="shared" si="462"/>
        <v>0</v>
      </c>
      <c r="O135" s="338">
        <f t="shared" si="462"/>
        <v>0</v>
      </c>
      <c r="P135" s="338">
        <f t="shared" si="462"/>
        <v>0</v>
      </c>
      <c r="Q135" s="338">
        <f t="shared" si="462"/>
        <v>0</v>
      </c>
      <c r="R135" s="338">
        <f t="shared" ref="R135" si="463">H135*H$26+I135*I$26+J135*J$26+K135*K$26+L135*L$26+M135*M$26+N135*N$26+O135*O$26+P135*P$26+Q135*Q$26</f>
        <v>833.75285560650013</v>
      </c>
      <c r="S135" s="308"/>
      <c r="T135" s="338">
        <f t="shared" ref="T135:AD135" si="464">T118+T122+T133</f>
        <v>1134.5874693858</v>
      </c>
      <c r="U135" s="338">
        <f t="shared" si="464"/>
        <v>1174.2088816485</v>
      </c>
      <c r="V135" s="338">
        <f t="shared" si="464"/>
        <v>945.44464500000004</v>
      </c>
      <c r="W135" s="338">
        <f t="shared" si="464"/>
        <v>0</v>
      </c>
      <c r="X135" s="338">
        <f t="shared" si="464"/>
        <v>0</v>
      </c>
      <c r="Y135" s="338">
        <f t="shared" si="464"/>
        <v>0</v>
      </c>
      <c r="Z135" s="338">
        <f t="shared" si="464"/>
        <v>0</v>
      </c>
      <c r="AA135" s="338">
        <f t="shared" si="464"/>
        <v>0</v>
      </c>
      <c r="AB135" s="338">
        <f t="shared" si="464"/>
        <v>0</v>
      </c>
      <c r="AC135" s="338">
        <f t="shared" si="464"/>
        <v>0</v>
      </c>
      <c r="AD135" s="338">
        <f t="shared" si="464"/>
        <v>1174.2088816485</v>
      </c>
      <c r="AE135" s="308"/>
      <c r="AF135" s="338">
        <f t="shared" ref="AF135:AP135" si="465">AF118+AF122+AF133</f>
        <v>9807.0638592779997</v>
      </c>
      <c r="AG135" s="338">
        <f t="shared" si="465"/>
        <v>10005.034267278001</v>
      </c>
      <c r="AH135" s="338">
        <f t="shared" si="465"/>
        <v>10584.732150325202</v>
      </c>
      <c r="AI135" s="338">
        <f t="shared" si="465"/>
        <v>0</v>
      </c>
      <c r="AJ135" s="338">
        <f t="shared" si="465"/>
        <v>0</v>
      </c>
      <c r="AK135" s="338">
        <f t="shared" si="465"/>
        <v>0</v>
      </c>
      <c r="AL135" s="338">
        <f t="shared" si="465"/>
        <v>0</v>
      </c>
      <c r="AM135" s="338">
        <f t="shared" si="465"/>
        <v>0</v>
      </c>
      <c r="AN135" s="338">
        <f t="shared" si="465"/>
        <v>0</v>
      </c>
      <c r="AO135" s="338">
        <f t="shared" si="465"/>
        <v>0</v>
      </c>
      <c r="AP135" s="338">
        <f t="shared" si="465"/>
        <v>10005.034267278001</v>
      </c>
      <c r="AQ135" s="308"/>
      <c r="AR135" s="338">
        <f t="shared" ref="AR135:BB135" si="466">AR118+AR122+AR133</f>
        <v>13615.049632629602</v>
      </c>
      <c r="AS135" s="338">
        <f t="shared" si="466"/>
        <v>14090.506579781999</v>
      </c>
      <c r="AT135" s="338">
        <f t="shared" si="466"/>
        <v>11345.335740000002</v>
      </c>
      <c r="AU135" s="338">
        <f t="shared" si="466"/>
        <v>0</v>
      </c>
      <c r="AV135" s="338">
        <f t="shared" si="466"/>
        <v>0</v>
      </c>
      <c r="AW135" s="338">
        <f t="shared" si="466"/>
        <v>0</v>
      </c>
      <c r="AX135" s="338">
        <f t="shared" si="466"/>
        <v>0</v>
      </c>
      <c r="AY135" s="338">
        <f t="shared" si="466"/>
        <v>0</v>
      </c>
      <c r="AZ135" s="338">
        <f t="shared" si="466"/>
        <v>0</v>
      </c>
      <c r="BA135" s="338">
        <f t="shared" si="466"/>
        <v>0</v>
      </c>
      <c r="BB135" s="338">
        <f t="shared" si="466"/>
        <v>14090.506579781999</v>
      </c>
      <c r="BC135" s="99"/>
      <c r="BD135" s="84"/>
      <c r="BE135" s="84"/>
      <c r="BF135" s="84"/>
      <c r="BG135" s="84"/>
      <c r="BH135" s="84"/>
    </row>
    <row r="136" spans="1:60" ht="13.5" customHeight="1" thickTop="1" x14ac:dyDescent="0.2">
      <c r="B136" s="26"/>
      <c r="C136" s="44"/>
      <c r="D136" s="44"/>
      <c r="E136" s="90"/>
      <c r="F136" s="57"/>
      <c r="G136" s="44"/>
      <c r="H136" s="310"/>
      <c r="I136" s="310"/>
      <c r="J136" s="310"/>
      <c r="K136" s="310"/>
      <c r="L136" s="310"/>
      <c r="M136" s="310"/>
      <c r="N136" s="310"/>
      <c r="O136" s="310"/>
      <c r="P136" s="310"/>
      <c r="Q136" s="310"/>
      <c r="R136" s="310"/>
      <c r="S136" s="308"/>
      <c r="T136" s="310"/>
      <c r="U136" s="310"/>
      <c r="V136" s="310"/>
      <c r="W136" s="310"/>
      <c r="X136" s="310"/>
      <c r="Y136" s="310"/>
      <c r="Z136" s="310"/>
      <c r="AA136" s="310"/>
      <c r="AB136" s="310"/>
      <c r="AC136" s="310"/>
      <c r="AD136" s="310"/>
      <c r="AE136" s="308"/>
      <c r="AF136" s="310"/>
      <c r="AG136" s="310"/>
      <c r="AH136" s="310"/>
      <c r="AI136" s="310"/>
      <c r="AJ136" s="310"/>
      <c r="AK136" s="310"/>
      <c r="AL136" s="310"/>
      <c r="AM136" s="310"/>
      <c r="AN136" s="310"/>
      <c r="AO136" s="310"/>
      <c r="AP136" s="310"/>
      <c r="AQ136" s="308"/>
      <c r="AR136" s="310"/>
      <c r="AS136" s="310"/>
      <c r="AT136" s="310"/>
      <c r="AU136" s="310"/>
      <c r="AV136" s="310"/>
      <c r="AW136" s="310"/>
      <c r="AX136" s="310"/>
      <c r="AY136" s="310"/>
      <c r="AZ136" s="310"/>
      <c r="BA136" s="310"/>
      <c r="BB136" s="310"/>
      <c r="BC136" s="99"/>
      <c r="BD136" s="84"/>
      <c r="BE136" s="84"/>
      <c r="BF136" s="84"/>
      <c r="BG136" s="84"/>
      <c r="BH136" s="84"/>
    </row>
    <row r="137" spans="1:60" ht="13.5" customHeight="1" thickBot="1" x14ac:dyDescent="0.25">
      <c r="B137" s="26"/>
      <c r="C137" s="43" t="s">
        <v>140</v>
      </c>
      <c r="D137" s="43"/>
      <c r="F137" s="27"/>
      <c r="G137" s="26"/>
      <c r="H137" s="310"/>
      <c r="I137" s="310"/>
      <c r="J137" s="310"/>
      <c r="K137" s="310"/>
      <c r="L137" s="310"/>
      <c r="M137" s="310"/>
      <c r="N137" s="310"/>
      <c r="O137" s="310"/>
      <c r="P137" s="310"/>
      <c r="Q137" s="310"/>
      <c r="R137" s="310"/>
      <c r="S137" s="308"/>
      <c r="T137" s="310"/>
      <c r="U137" s="310"/>
      <c r="V137" s="310"/>
      <c r="W137" s="310"/>
      <c r="X137" s="310"/>
      <c r="Y137" s="310"/>
      <c r="Z137" s="310"/>
      <c r="AA137" s="310"/>
      <c r="AB137" s="310"/>
      <c r="AC137" s="310"/>
      <c r="AD137" s="310"/>
      <c r="AE137" s="308"/>
      <c r="AF137" s="310"/>
      <c r="AG137" s="310"/>
      <c r="AH137" s="310"/>
      <c r="AI137" s="310"/>
      <c r="AJ137" s="310"/>
      <c r="AK137" s="310"/>
      <c r="AL137" s="310"/>
      <c r="AM137" s="310"/>
      <c r="AN137" s="310"/>
      <c r="AO137" s="310"/>
      <c r="AP137" s="310"/>
      <c r="AQ137" s="308"/>
      <c r="AR137" s="310"/>
      <c r="AS137" s="310"/>
      <c r="AT137" s="310"/>
      <c r="AU137" s="310"/>
      <c r="AV137" s="310"/>
      <c r="AW137" s="310"/>
      <c r="AX137" s="310"/>
      <c r="AY137" s="310"/>
      <c r="AZ137" s="310"/>
      <c r="BA137" s="310"/>
      <c r="BB137" s="310"/>
      <c r="BC137" s="99"/>
      <c r="BD137" s="84"/>
      <c r="BE137" s="84"/>
      <c r="BF137" s="84"/>
      <c r="BG137" s="84"/>
      <c r="BH137" s="84"/>
    </row>
    <row r="138" spans="1:60" ht="13.5" customHeight="1" thickTop="1" thickBot="1" x14ac:dyDescent="0.25">
      <c r="B138" s="26"/>
      <c r="C138" s="28" t="s">
        <v>141</v>
      </c>
      <c r="D138" s="28"/>
      <c r="E138" s="88"/>
      <c r="F138" s="29"/>
      <c r="G138" s="28"/>
      <c r="H138" s="338">
        <f t="shared" ref="H138:Q138" si="467">H107+H135</f>
        <v>3144.0553216065</v>
      </c>
      <c r="I138" s="338">
        <f t="shared" si="467"/>
        <v>3272.8128556065003</v>
      </c>
      <c r="J138" s="338">
        <f t="shared" si="467"/>
        <v>3445.6010125271</v>
      </c>
      <c r="K138" s="338">
        <f t="shared" si="467"/>
        <v>0</v>
      </c>
      <c r="L138" s="338">
        <f t="shared" si="467"/>
        <v>0</v>
      </c>
      <c r="M138" s="338">
        <f t="shared" si="467"/>
        <v>0</v>
      </c>
      <c r="N138" s="338">
        <f t="shared" si="467"/>
        <v>0</v>
      </c>
      <c r="O138" s="338">
        <f t="shared" si="467"/>
        <v>0</v>
      </c>
      <c r="P138" s="338">
        <f t="shared" si="467"/>
        <v>0</v>
      </c>
      <c r="Q138" s="338">
        <f t="shared" si="467"/>
        <v>0</v>
      </c>
      <c r="R138" s="338">
        <f t="shared" ref="R138" si="468">H138*H$26+I138*I$26+J138*J$26+K138*K$26+L138*L$26+M138*M$26+N138*N$26+O138*O$26+P138*P$26+Q138*Q$26</f>
        <v>3272.8128556065003</v>
      </c>
      <c r="S138" s="308"/>
      <c r="T138" s="338">
        <f t="shared" ref="T138:AD138" si="469">T107+T135</f>
        <v>4375.5174693857998</v>
      </c>
      <c r="U138" s="338">
        <f t="shared" si="469"/>
        <v>4572.3088816484997</v>
      </c>
      <c r="V138" s="338">
        <f t="shared" si="469"/>
        <v>4517.7946449999999</v>
      </c>
      <c r="W138" s="338">
        <f t="shared" si="469"/>
        <v>0</v>
      </c>
      <c r="X138" s="338">
        <f t="shared" si="469"/>
        <v>0</v>
      </c>
      <c r="Y138" s="338">
        <f t="shared" si="469"/>
        <v>0</v>
      </c>
      <c r="Z138" s="338">
        <f t="shared" si="469"/>
        <v>0</v>
      </c>
      <c r="AA138" s="338">
        <f t="shared" si="469"/>
        <v>0</v>
      </c>
      <c r="AB138" s="338">
        <f t="shared" si="469"/>
        <v>0</v>
      </c>
      <c r="AC138" s="338">
        <f t="shared" si="469"/>
        <v>0</v>
      </c>
      <c r="AD138" s="338">
        <f t="shared" si="469"/>
        <v>4572.3088816484997</v>
      </c>
      <c r="AE138" s="308"/>
      <c r="AF138" s="338">
        <f t="shared" ref="AF138:AP138" si="470">AF107+AF135</f>
        <v>37728.663859278</v>
      </c>
      <c r="AG138" s="338">
        <f t="shared" si="470"/>
        <v>39273.754267278004</v>
      </c>
      <c r="AH138" s="338">
        <f t="shared" si="470"/>
        <v>41347.212150325198</v>
      </c>
      <c r="AI138" s="338">
        <f t="shared" si="470"/>
        <v>0</v>
      </c>
      <c r="AJ138" s="338">
        <f t="shared" si="470"/>
        <v>0</v>
      </c>
      <c r="AK138" s="338">
        <f t="shared" si="470"/>
        <v>0</v>
      </c>
      <c r="AL138" s="338">
        <f t="shared" si="470"/>
        <v>0</v>
      </c>
      <c r="AM138" s="338">
        <f t="shared" si="470"/>
        <v>0</v>
      </c>
      <c r="AN138" s="338">
        <f t="shared" si="470"/>
        <v>0</v>
      </c>
      <c r="AO138" s="338">
        <f t="shared" si="470"/>
        <v>0</v>
      </c>
      <c r="AP138" s="338">
        <f t="shared" si="470"/>
        <v>39273.754267278004</v>
      </c>
      <c r="AQ138" s="308"/>
      <c r="AR138" s="339">
        <f t="shared" ref="AR138:BB138" si="471">AR107+AR135</f>
        <v>52506.209632629601</v>
      </c>
      <c r="AS138" s="339">
        <f t="shared" si="471"/>
        <v>54867.706579781996</v>
      </c>
      <c r="AT138" s="339">
        <f t="shared" si="471"/>
        <v>54213.535739999999</v>
      </c>
      <c r="AU138" s="339">
        <f t="shared" si="471"/>
        <v>0</v>
      </c>
      <c r="AV138" s="339">
        <f t="shared" si="471"/>
        <v>0</v>
      </c>
      <c r="AW138" s="339">
        <f t="shared" si="471"/>
        <v>0</v>
      </c>
      <c r="AX138" s="339">
        <f t="shared" si="471"/>
        <v>0</v>
      </c>
      <c r="AY138" s="339">
        <f t="shared" si="471"/>
        <v>0</v>
      </c>
      <c r="AZ138" s="339">
        <f t="shared" si="471"/>
        <v>0</v>
      </c>
      <c r="BA138" s="339">
        <f t="shared" si="471"/>
        <v>0</v>
      </c>
      <c r="BB138" s="339">
        <f t="shared" si="471"/>
        <v>54867.706579781996</v>
      </c>
      <c r="BC138" s="99"/>
      <c r="BD138" s="84"/>
      <c r="BE138" s="84"/>
      <c r="BF138" s="84"/>
      <c r="BG138" s="84"/>
      <c r="BH138" s="84"/>
    </row>
    <row r="139" spans="1:60" ht="13.5" customHeight="1" thickTop="1" x14ac:dyDescent="0.2">
      <c r="B139" s="26"/>
      <c r="C139" s="26"/>
      <c r="D139" s="26"/>
      <c r="F139" s="27"/>
      <c r="G139" s="26"/>
      <c r="H139" s="312"/>
      <c r="I139" s="312"/>
      <c r="J139" s="312"/>
      <c r="K139" s="312"/>
      <c r="L139" s="312"/>
      <c r="M139" s="312"/>
      <c r="N139" s="312"/>
      <c r="O139" s="312"/>
      <c r="P139" s="312"/>
      <c r="Q139" s="312"/>
      <c r="R139" s="312"/>
      <c r="S139" s="312"/>
      <c r="T139" s="312"/>
      <c r="U139" s="312"/>
      <c r="V139" s="312"/>
      <c r="W139" s="312"/>
      <c r="X139" s="312"/>
      <c r="Y139" s="312"/>
      <c r="Z139" s="312"/>
      <c r="AA139" s="312"/>
      <c r="AB139" s="312"/>
      <c r="AC139" s="312"/>
      <c r="AD139" s="312"/>
      <c r="AE139" s="308"/>
      <c r="AF139" s="312"/>
      <c r="AG139" s="312"/>
      <c r="AH139" s="312"/>
      <c r="AI139" s="312"/>
      <c r="AJ139" s="312"/>
      <c r="AK139" s="312"/>
      <c r="AL139" s="312"/>
      <c r="AM139" s="312"/>
      <c r="AN139" s="312"/>
      <c r="AO139" s="312"/>
      <c r="AP139" s="312"/>
      <c r="AQ139" s="308"/>
      <c r="AR139" s="312"/>
      <c r="AS139" s="312"/>
      <c r="AT139" s="312"/>
      <c r="AU139" s="312"/>
      <c r="AV139" s="312"/>
      <c r="AW139" s="312"/>
      <c r="AX139" s="312"/>
      <c r="AY139" s="312"/>
      <c r="AZ139" s="312"/>
      <c r="BA139" s="312"/>
      <c r="BB139" s="312"/>
      <c r="BC139" s="99"/>
      <c r="BD139" s="84"/>
      <c r="BE139" s="84"/>
      <c r="BF139" s="84"/>
      <c r="BG139" s="84"/>
      <c r="BH139" s="84"/>
    </row>
    <row r="140" spans="1:60" ht="13.5" customHeight="1" thickBot="1" x14ac:dyDescent="0.25">
      <c r="B140" s="26"/>
      <c r="C140" s="43" t="s">
        <v>180</v>
      </c>
      <c r="D140" s="43"/>
      <c r="F140" s="27"/>
      <c r="G140" s="26"/>
      <c r="H140" s="312"/>
      <c r="I140" s="312"/>
      <c r="J140" s="312"/>
      <c r="K140" s="312"/>
      <c r="L140" s="312"/>
      <c r="M140" s="312"/>
      <c r="N140" s="312"/>
      <c r="O140" s="312"/>
      <c r="P140" s="312"/>
      <c r="Q140" s="312"/>
      <c r="R140" s="312"/>
      <c r="S140" s="312"/>
      <c r="T140" s="307"/>
      <c r="U140" s="307"/>
      <c r="V140" s="307"/>
      <c r="W140" s="307"/>
      <c r="X140" s="307"/>
      <c r="Y140" s="307"/>
      <c r="Z140" s="307"/>
      <c r="AA140" s="307"/>
      <c r="AB140" s="307"/>
      <c r="AC140" s="307"/>
      <c r="AD140" s="307"/>
      <c r="AE140" s="308"/>
      <c r="AF140" s="307"/>
      <c r="AG140" s="307"/>
      <c r="AH140" s="307"/>
      <c r="AI140" s="307"/>
      <c r="AJ140" s="307"/>
      <c r="AK140" s="307"/>
      <c r="AL140" s="307"/>
      <c r="AM140" s="307"/>
      <c r="AN140" s="307"/>
      <c r="AO140" s="307"/>
      <c r="AP140" s="307"/>
      <c r="AQ140" s="308"/>
      <c r="AR140" s="307"/>
      <c r="AS140" s="307"/>
      <c r="AT140" s="307"/>
      <c r="AU140" s="307"/>
      <c r="AV140" s="307"/>
      <c r="AW140" s="307"/>
      <c r="AX140" s="307"/>
      <c r="AY140" s="307"/>
      <c r="AZ140" s="307"/>
      <c r="BA140" s="307"/>
      <c r="BB140" s="307"/>
      <c r="BC140" s="99"/>
      <c r="BD140" s="84"/>
      <c r="BE140" s="84"/>
      <c r="BF140" s="84"/>
      <c r="BG140" s="84"/>
      <c r="BH140" s="84"/>
    </row>
    <row r="141" spans="1:60" ht="13.5" customHeight="1" thickTop="1" thickBot="1" x14ac:dyDescent="0.25">
      <c r="B141" s="26"/>
      <c r="C141" s="28" t="s">
        <v>168</v>
      </c>
      <c r="D141" s="28"/>
      <c r="F141" s="27"/>
      <c r="G141" s="26"/>
      <c r="H141" s="312"/>
      <c r="I141" s="312"/>
      <c r="J141" s="312"/>
      <c r="K141" s="312"/>
      <c r="L141" s="312"/>
      <c r="M141" s="312"/>
      <c r="N141" s="312"/>
      <c r="O141" s="312"/>
      <c r="P141" s="312"/>
      <c r="Q141" s="312"/>
      <c r="R141" s="312"/>
      <c r="S141" s="312"/>
      <c r="T141" s="338">
        <f>T138-H138</f>
        <v>1231.4621477792998</v>
      </c>
      <c r="U141" s="338">
        <f t="shared" ref="U141" si="472">U138-I138</f>
        <v>1299.4960260419994</v>
      </c>
      <c r="V141" s="338">
        <f t="shared" ref="V141" si="473">V138-J138</f>
        <v>1072.1936324728999</v>
      </c>
      <c r="W141" s="338">
        <f t="shared" ref="W141" si="474">W138-K138</f>
        <v>0</v>
      </c>
      <c r="X141" s="338">
        <f t="shared" ref="X141" si="475">X138-L138</f>
        <v>0</v>
      </c>
      <c r="Y141" s="338">
        <f t="shared" ref="Y141" si="476">Y138-M138</f>
        <v>0</v>
      </c>
      <c r="Z141" s="338">
        <f t="shared" ref="Z141" si="477">Z138-N138</f>
        <v>0</v>
      </c>
      <c r="AA141" s="338">
        <f t="shared" ref="AA141" si="478">AA138-O138</f>
        <v>0</v>
      </c>
      <c r="AB141" s="338">
        <f t="shared" ref="AB141" si="479">AB138-P138</f>
        <v>0</v>
      </c>
      <c r="AC141" s="338">
        <f t="shared" ref="AC141" si="480">AC138-Q138</f>
        <v>0</v>
      </c>
      <c r="AD141" s="338">
        <f t="shared" ref="AD141" si="481">AD138-R138</f>
        <v>1299.4960260419994</v>
      </c>
      <c r="AE141" s="308"/>
      <c r="AF141" s="312"/>
      <c r="AG141" s="312"/>
      <c r="AH141" s="312"/>
      <c r="AI141" s="312"/>
      <c r="AJ141" s="312"/>
      <c r="AK141" s="312"/>
      <c r="AL141" s="312"/>
      <c r="AM141" s="312"/>
      <c r="AN141" s="312"/>
      <c r="AO141" s="312"/>
      <c r="AP141" s="312"/>
      <c r="AQ141" s="308"/>
      <c r="AR141" s="341">
        <f>AR138-AF138</f>
        <v>14777.545773351601</v>
      </c>
      <c r="AS141" s="341">
        <f t="shared" ref="AS141" si="482">AS138-AG138</f>
        <v>15593.952312503992</v>
      </c>
      <c r="AT141" s="341">
        <f t="shared" ref="AT141" si="483">AT138-AH138</f>
        <v>12866.323589674801</v>
      </c>
      <c r="AU141" s="341">
        <f t="shared" ref="AU141" si="484">AU138-AI138</f>
        <v>0</v>
      </c>
      <c r="AV141" s="341">
        <f t="shared" ref="AV141" si="485">AV138-AJ138</f>
        <v>0</v>
      </c>
      <c r="AW141" s="341">
        <f t="shared" ref="AW141" si="486">AW138-AK138</f>
        <v>0</v>
      </c>
      <c r="AX141" s="341">
        <f t="shared" ref="AX141" si="487">AX138-AL138</f>
        <v>0</v>
      </c>
      <c r="AY141" s="341">
        <f t="shared" ref="AY141" si="488">AY138-AM138</f>
        <v>0</v>
      </c>
      <c r="AZ141" s="341">
        <f t="shared" ref="AZ141" si="489">AZ138-AN138</f>
        <v>0</v>
      </c>
      <c r="BA141" s="341">
        <f t="shared" ref="BA141" si="490">BA138-AO138</f>
        <v>0</v>
      </c>
      <c r="BB141" s="341">
        <f t="shared" ref="BB141" si="491">BB138-AP138</f>
        <v>15593.952312503992</v>
      </c>
      <c r="BC141" s="99"/>
      <c r="BD141" s="84"/>
      <c r="BE141" s="84"/>
      <c r="BF141" s="84"/>
      <c r="BG141" s="84"/>
      <c r="BH141" s="84"/>
    </row>
    <row r="142" spans="1:60" ht="13.5" customHeight="1" thickTop="1" x14ac:dyDescent="0.2">
      <c r="B142" s="26"/>
      <c r="C142" s="28"/>
      <c r="D142" s="28"/>
      <c r="F142" s="27"/>
      <c r="G142" s="26"/>
      <c r="H142" s="312"/>
      <c r="I142" s="312"/>
      <c r="J142" s="312"/>
      <c r="K142" s="312"/>
      <c r="L142" s="312"/>
      <c r="M142" s="312"/>
      <c r="N142" s="312"/>
      <c r="O142" s="312"/>
      <c r="P142" s="312"/>
      <c r="Q142" s="312"/>
      <c r="R142" s="312"/>
      <c r="S142" s="312"/>
      <c r="T142" s="342"/>
      <c r="U142" s="342"/>
      <c r="V142" s="342"/>
      <c r="W142" s="342"/>
      <c r="X142" s="342"/>
      <c r="Y142" s="342"/>
      <c r="Z142" s="342"/>
      <c r="AA142" s="342"/>
      <c r="AB142" s="342"/>
      <c r="AC142" s="342"/>
      <c r="AD142" s="342"/>
      <c r="AE142" s="308"/>
      <c r="AF142" s="312"/>
      <c r="AG142" s="312"/>
      <c r="AH142" s="312"/>
      <c r="AI142" s="312"/>
      <c r="AJ142" s="312"/>
      <c r="AK142" s="312"/>
      <c r="AL142" s="312"/>
      <c r="AM142" s="312"/>
      <c r="AN142" s="312"/>
      <c r="AO142" s="312"/>
      <c r="AP142" s="312"/>
      <c r="AQ142" s="308"/>
      <c r="AR142" s="343"/>
      <c r="AS142" s="343"/>
      <c r="AT142" s="343"/>
      <c r="AU142" s="343"/>
      <c r="AV142" s="343"/>
      <c r="AW142" s="343"/>
      <c r="AX142" s="343"/>
      <c r="AY142" s="343"/>
      <c r="AZ142" s="343"/>
      <c r="BA142" s="343"/>
      <c r="BB142" s="343"/>
      <c r="BC142" s="99"/>
      <c r="BD142" s="84"/>
      <c r="BE142" s="84"/>
      <c r="BF142" s="84"/>
      <c r="BG142" s="84"/>
      <c r="BH142" s="84"/>
    </row>
    <row r="143" spans="1:60" ht="13.5" customHeight="1" thickBot="1" x14ac:dyDescent="0.25">
      <c r="B143" s="26"/>
      <c r="C143" s="43" t="s">
        <v>219</v>
      </c>
      <c r="D143" s="43"/>
      <c r="F143" s="27"/>
      <c r="G143" s="26"/>
      <c r="H143" s="312"/>
      <c r="I143" s="312"/>
      <c r="J143" s="312"/>
      <c r="K143" s="312"/>
      <c r="L143" s="312"/>
      <c r="M143" s="312"/>
      <c r="N143" s="312"/>
      <c r="O143" s="312"/>
      <c r="P143" s="312"/>
      <c r="Q143" s="312"/>
      <c r="R143" s="312"/>
      <c r="S143" s="312"/>
      <c r="T143" s="342"/>
      <c r="U143" s="342"/>
      <c r="V143" s="342"/>
      <c r="W143" s="342"/>
      <c r="X143" s="342"/>
      <c r="Y143" s="342"/>
      <c r="Z143" s="342"/>
      <c r="AA143" s="342"/>
      <c r="AB143" s="342"/>
      <c r="AC143" s="342"/>
      <c r="AD143" s="342"/>
      <c r="AE143" s="308"/>
      <c r="AF143" s="312"/>
      <c r="AG143" s="312"/>
      <c r="AH143" s="312"/>
      <c r="AI143" s="312"/>
      <c r="AJ143" s="312"/>
      <c r="AK143" s="312"/>
      <c r="AL143" s="312"/>
      <c r="AM143" s="312"/>
      <c r="AN143" s="312"/>
      <c r="AO143" s="312"/>
      <c r="AP143" s="312"/>
      <c r="AQ143" s="308"/>
      <c r="AR143" s="343"/>
      <c r="AS143" s="343"/>
      <c r="AT143" s="343"/>
      <c r="AU143" s="343"/>
      <c r="AV143" s="343"/>
      <c r="AW143" s="343"/>
      <c r="AX143" s="343"/>
      <c r="AY143" s="343"/>
      <c r="AZ143" s="343"/>
      <c r="BA143" s="343"/>
      <c r="BB143" s="343"/>
      <c r="BC143" s="99"/>
      <c r="BD143" s="84"/>
      <c r="BE143" s="84"/>
      <c r="BF143" s="84"/>
      <c r="BG143" s="84"/>
      <c r="BH143" s="84"/>
    </row>
    <row r="144" spans="1:60" s="88" customFormat="1" ht="13.5" customHeight="1" thickTop="1" thickBot="1" x14ac:dyDescent="0.25">
      <c r="B144" s="28"/>
      <c r="C144" s="28" t="s">
        <v>220</v>
      </c>
      <c r="D144" s="28"/>
      <c r="F144" s="29"/>
      <c r="G144" s="28"/>
      <c r="H144" s="338">
        <f>AF144/12</f>
        <v>0</v>
      </c>
      <c r="I144" s="338">
        <f t="shared" ref="I144" si="492">AG144/12</f>
        <v>0</v>
      </c>
      <c r="J144" s="338">
        <f t="shared" ref="J144" si="493">AH144/12</f>
        <v>0</v>
      </c>
      <c r="K144" s="338">
        <f t="shared" ref="K144" si="494">AI144/12</f>
        <v>0</v>
      </c>
      <c r="L144" s="338">
        <f t="shared" ref="L144" si="495">AJ144/12</f>
        <v>0</v>
      </c>
      <c r="M144" s="338">
        <f t="shared" ref="M144" si="496">AK144/12</f>
        <v>0</v>
      </c>
      <c r="N144" s="338">
        <f t="shared" ref="N144" si="497">AL144/12</f>
        <v>0</v>
      </c>
      <c r="O144" s="338">
        <f t="shared" ref="O144" si="498">AM144/12</f>
        <v>0</v>
      </c>
      <c r="P144" s="338">
        <f t="shared" ref="P144" si="499">AN144/12</f>
        <v>0</v>
      </c>
      <c r="Q144" s="338">
        <f t="shared" ref="Q144" si="500">AO144/12</f>
        <v>0</v>
      </c>
      <c r="R144" s="338">
        <f t="shared" ref="R144" si="501">AP144/12</f>
        <v>0</v>
      </c>
      <c r="S144" s="331"/>
      <c r="T144" s="338">
        <f>AR144/12</f>
        <v>0</v>
      </c>
      <c r="U144" s="338">
        <f t="shared" ref="U144" si="502">AS144/12</f>
        <v>0</v>
      </c>
      <c r="V144" s="338">
        <f t="shared" ref="V144" si="503">AT144/12</f>
        <v>0</v>
      </c>
      <c r="W144" s="338">
        <f t="shared" ref="W144" si="504">AU144/12</f>
        <v>0</v>
      </c>
      <c r="X144" s="338">
        <f t="shared" ref="X144" si="505">AV144/12</f>
        <v>0</v>
      </c>
      <c r="Y144" s="338">
        <f t="shared" ref="Y144" si="506">AW144/12</f>
        <v>0</v>
      </c>
      <c r="Z144" s="338">
        <f t="shared" ref="Z144" si="507">AX144/12</f>
        <v>0</v>
      </c>
      <c r="AA144" s="338">
        <f t="shared" ref="AA144" si="508">AY144/12</f>
        <v>0</v>
      </c>
      <c r="AB144" s="338">
        <f t="shared" ref="AB144" si="509">AZ144/12</f>
        <v>0</v>
      </c>
      <c r="AC144" s="338">
        <f t="shared" ref="AC144" si="510">BA144/12</f>
        <v>0</v>
      </c>
      <c r="AD144" s="338">
        <f t="shared" ref="AD144" si="511">BB144/12</f>
        <v>0</v>
      </c>
      <c r="AE144" s="344"/>
      <c r="AF144" s="338">
        <f>'Invoer gegevens'!$U83*'Loonkosten uitgebreid'!$AF138</f>
        <v>0</v>
      </c>
      <c r="AG144" s="338">
        <f>'Invoer gegevens'!$U83*'Loonkosten uitgebreid'!$AF138</f>
        <v>0</v>
      </c>
      <c r="AH144" s="338">
        <f>'Invoer gegevens'!$U83*'Loonkosten uitgebreid'!$AF138</f>
        <v>0</v>
      </c>
      <c r="AI144" s="338">
        <f>'Invoer gegevens'!$U83*'Loonkosten uitgebreid'!$AF138</f>
        <v>0</v>
      </c>
      <c r="AJ144" s="338">
        <f>'Invoer gegevens'!$U83*'Loonkosten uitgebreid'!$AF138</f>
        <v>0</v>
      </c>
      <c r="AK144" s="338">
        <f>'Invoer gegevens'!$U83*'Loonkosten uitgebreid'!$AF138</f>
        <v>0</v>
      </c>
      <c r="AL144" s="338">
        <f>'Invoer gegevens'!$U83*'Loonkosten uitgebreid'!$AF138</f>
        <v>0</v>
      </c>
      <c r="AM144" s="338">
        <f>'Invoer gegevens'!$U83*'Loonkosten uitgebreid'!$AF138</f>
        <v>0</v>
      </c>
      <c r="AN144" s="338">
        <f>'Invoer gegevens'!$U83*'Loonkosten uitgebreid'!$AF138</f>
        <v>0</v>
      </c>
      <c r="AO144" s="338">
        <f>'Invoer gegevens'!$U83*'Loonkosten uitgebreid'!$AF138</f>
        <v>0</v>
      </c>
      <c r="AP144" s="338">
        <f t="shared" ref="AP144" si="512">AF144*AF$26+AG144*AG$26+AH144*AH$26+AI144*AI$26+AJ144*AJ$26+AK144*AK$26+AL144*AL$26+AM144*AM$26+AN144*AN$26+AO144*AO$26</f>
        <v>0</v>
      </c>
      <c r="AQ144" s="344"/>
      <c r="AR144" s="338">
        <f>'Invoer gegevens'!$V83*'Loonkosten uitgebreid'!AR138</f>
        <v>0</v>
      </c>
      <c r="AS144" s="338">
        <f>'Invoer gegevens'!$V83*'Loonkosten uitgebreid'!AS138</f>
        <v>0</v>
      </c>
      <c r="AT144" s="338">
        <f>'Invoer gegevens'!$V83*'Loonkosten uitgebreid'!AT138</f>
        <v>0</v>
      </c>
      <c r="AU144" s="338">
        <f>'Invoer gegevens'!$V83*'Loonkosten uitgebreid'!AU138</f>
        <v>0</v>
      </c>
      <c r="AV144" s="338">
        <f>'Invoer gegevens'!$V83*'Loonkosten uitgebreid'!AV138</f>
        <v>0</v>
      </c>
      <c r="AW144" s="338">
        <f>'Invoer gegevens'!$V83*'Loonkosten uitgebreid'!AW138</f>
        <v>0</v>
      </c>
      <c r="AX144" s="338">
        <f>'Invoer gegevens'!$V83*'Loonkosten uitgebreid'!AX138</f>
        <v>0</v>
      </c>
      <c r="AY144" s="338">
        <f>'Invoer gegevens'!$V83*'Loonkosten uitgebreid'!AY138</f>
        <v>0</v>
      </c>
      <c r="AZ144" s="338">
        <f>'Invoer gegevens'!$V83*'Loonkosten uitgebreid'!AZ138</f>
        <v>0</v>
      </c>
      <c r="BA144" s="338">
        <f>'Invoer gegevens'!$V83*'Loonkosten uitgebreid'!BA138</f>
        <v>0</v>
      </c>
      <c r="BB144" s="338">
        <f>IF(BC112&lt;&gt;"[leeg]",'Invoer gegevens'!$V83*'Loonkosten uitgebreid'!BB107,0)</f>
        <v>0</v>
      </c>
      <c r="BC144" s="142"/>
      <c r="BD144" s="129"/>
      <c r="BE144" s="129"/>
      <c r="BF144" s="129"/>
      <c r="BG144" s="129"/>
      <c r="BH144" s="129"/>
    </row>
    <row r="145" spans="1:82" ht="13.5" customHeight="1" thickTop="1" thickBot="1" x14ac:dyDescent="0.25">
      <c r="B145" s="26"/>
      <c r="C145" s="30"/>
      <c r="D145" s="30"/>
      <c r="F145" s="27"/>
      <c r="G145" s="26"/>
      <c r="H145" s="312"/>
      <c r="I145" s="312"/>
      <c r="J145" s="312"/>
      <c r="K145" s="312"/>
      <c r="L145" s="312"/>
      <c r="M145" s="312"/>
      <c r="N145" s="312"/>
      <c r="O145" s="312"/>
      <c r="P145" s="312"/>
      <c r="Q145" s="312"/>
      <c r="R145" s="312"/>
      <c r="S145" s="312"/>
      <c r="T145" s="342"/>
      <c r="U145" s="342"/>
      <c r="V145" s="342"/>
      <c r="W145" s="342"/>
      <c r="X145" s="342"/>
      <c r="Y145" s="342"/>
      <c r="Z145" s="342"/>
      <c r="AA145" s="342"/>
      <c r="AB145" s="342"/>
      <c r="AC145" s="342"/>
      <c r="AD145" s="342"/>
      <c r="AE145" s="308"/>
      <c r="AF145" s="312"/>
      <c r="AG145" s="312"/>
      <c r="AH145" s="312"/>
      <c r="AI145" s="312"/>
      <c r="AJ145" s="312"/>
      <c r="AK145" s="312"/>
      <c r="AL145" s="312"/>
      <c r="AM145" s="312"/>
      <c r="AN145" s="312"/>
      <c r="AO145" s="312"/>
      <c r="AP145" s="312"/>
      <c r="AQ145" s="308"/>
      <c r="AR145" s="343"/>
      <c r="AS145" s="343"/>
      <c r="AT145" s="343"/>
      <c r="AU145" s="343"/>
      <c r="AV145" s="343"/>
      <c r="AW145" s="343"/>
      <c r="AX145" s="343"/>
      <c r="AY145" s="343"/>
      <c r="AZ145" s="343"/>
      <c r="BA145" s="343"/>
      <c r="BB145" s="343"/>
      <c r="BC145" s="99"/>
      <c r="BD145" s="84"/>
      <c r="BE145" s="84"/>
      <c r="BF145" s="84"/>
      <c r="BG145" s="84"/>
      <c r="BH145" s="84"/>
    </row>
    <row r="146" spans="1:82" ht="13.5" customHeight="1" thickTop="1" thickBot="1" x14ac:dyDescent="0.25">
      <c r="B146" s="26"/>
      <c r="C146" s="43" t="s">
        <v>221</v>
      </c>
      <c r="D146" s="43"/>
      <c r="F146" s="27"/>
      <c r="G146" s="26"/>
      <c r="H146" s="312"/>
      <c r="I146" s="312"/>
      <c r="J146" s="312"/>
      <c r="K146" s="312"/>
      <c r="L146" s="312"/>
      <c r="M146" s="312"/>
      <c r="N146" s="312"/>
      <c r="O146" s="312"/>
      <c r="P146" s="312"/>
      <c r="Q146" s="312"/>
      <c r="R146" s="312"/>
      <c r="S146" s="312"/>
      <c r="T146" s="338">
        <f>T141+T144-H144</f>
        <v>1231.4621477792998</v>
      </c>
      <c r="U146" s="338">
        <f t="shared" ref="U146" si="513">U141+U144-I144</f>
        <v>1299.4960260419994</v>
      </c>
      <c r="V146" s="338">
        <f t="shared" ref="V146" si="514">V141+V144-J144</f>
        <v>1072.1936324728999</v>
      </c>
      <c r="W146" s="338">
        <f t="shared" ref="W146" si="515">W141+W144-K144</f>
        <v>0</v>
      </c>
      <c r="X146" s="338">
        <f t="shared" ref="X146" si="516">X141+X144-L144</f>
        <v>0</v>
      </c>
      <c r="Y146" s="338">
        <f t="shared" ref="Y146" si="517">Y141+Y144-M144</f>
        <v>0</v>
      </c>
      <c r="Z146" s="338">
        <f t="shared" ref="Z146" si="518">Z141+Z144-N144</f>
        <v>0</v>
      </c>
      <c r="AA146" s="338">
        <f t="shared" ref="AA146" si="519">AA141+AA144-O144</f>
        <v>0</v>
      </c>
      <c r="AB146" s="338">
        <f t="shared" ref="AB146" si="520">AB141+AB144-P144</f>
        <v>0</v>
      </c>
      <c r="AC146" s="338">
        <f t="shared" ref="AC146" si="521">AC141+AC144-Q144</f>
        <v>0</v>
      </c>
      <c r="AD146" s="338">
        <f t="shared" ref="AD146" si="522">AD141+AD144-R144</f>
        <v>1299.4960260419994</v>
      </c>
      <c r="AE146" s="308"/>
      <c r="AF146" s="312"/>
      <c r="AG146" s="312"/>
      <c r="AH146" s="312"/>
      <c r="AI146" s="312"/>
      <c r="AJ146" s="312"/>
      <c r="AK146" s="312"/>
      <c r="AL146" s="312"/>
      <c r="AM146" s="312"/>
      <c r="AN146" s="312"/>
      <c r="AO146" s="312"/>
      <c r="AP146" s="312"/>
      <c r="AQ146" s="308"/>
      <c r="AR146" s="341">
        <f>AR141+AR144-AF144</f>
        <v>14777.545773351601</v>
      </c>
      <c r="AS146" s="341">
        <f t="shared" ref="AS146" si="523">AS141+AS144-AG144</f>
        <v>15593.952312503992</v>
      </c>
      <c r="AT146" s="341">
        <f t="shared" ref="AT146" si="524">AT141+AT144-AH144</f>
        <v>12866.323589674801</v>
      </c>
      <c r="AU146" s="341">
        <f t="shared" ref="AU146" si="525">AU141+AU144-AI144</f>
        <v>0</v>
      </c>
      <c r="AV146" s="341">
        <f t="shared" ref="AV146" si="526">AV141+AV144-AJ144</f>
        <v>0</v>
      </c>
      <c r="AW146" s="341">
        <f t="shared" ref="AW146" si="527">AW141+AW144-AK144</f>
        <v>0</v>
      </c>
      <c r="AX146" s="341">
        <f t="shared" ref="AX146" si="528">AX141+AX144-AL144</f>
        <v>0</v>
      </c>
      <c r="AY146" s="341">
        <f t="shared" ref="AY146" si="529">AY141+AY144-AM144</f>
        <v>0</v>
      </c>
      <c r="AZ146" s="341">
        <f t="shared" ref="AZ146" si="530">AZ141+AZ144-AN144</f>
        <v>0</v>
      </c>
      <c r="BA146" s="341">
        <f t="shared" ref="BA146" si="531">BA141+BA144-AO144</f>
        <v>0</v>
      </c>
      <c r="BB146" s="341">
        <f t="shared" ref="BB146" si="532">BB141+BB144-AP144</f>
        <v>15593.952312503992</v>
      </c>
      <c r="BC146" s="99"/>
      <c r="BD146" s="84"/>
      <c r="BE146" s="84"/>
      <c r="BF146" s="84"/>
      <c r="BG146" s="84"/>
      <c r="BH146" s="84"/>
    </row>
    <row r="147" spans="1:82" s="16" customFormat="1" ht="12.95" customHeight="1" thickTop="1" x14ac:dyDescent="0.2">
      <c r="A147" s="17"/>
      <c r="B147" s="30"/>
      <c r="C147" s="28" t="s">
        <v>222</v>
      </c>
      <c r="D147" s="28"/>
      <c r="E147" s="35"/>
      <c r="F147" s="31"/>
      <c r="G147" s="30"/>
      <c r="H147" s="320"/>
      <c r="I147" s="320"/>
      <c r="J147" s="320"/>
      <c r="K147" s="320"/>
      <c r="L147" s="320"/>
      <c r="M147" s="320"/>
      <c r="N147" s="320"/>
      <c r="O147" s="320"/>
      <c r="P147" s="320"/>
      <c r="Q147" s="320"/>
      <c r="R147" s="320"/>
      <c r="S147" s="320"/>
      <c r="T147" s="320"/>
      <c r="U147" s="320"/>
      <c r="V147" s="320"/>
      <c r="W147" s="320"/>
      <c r="X147" s="320"/>
      <c r="Y147" s="320"/>
      <c r="Z147" s="320"/>
      <c r="AA147" s="320"/>
      <c r="AB147" s="320"/>
      <c r="AC147" s="320"/>
      <c r="AD147" s="320"/>
      <c r="AE147" s="320"/>
      <c r="AF147" s="320"/>
      <c r="AG147" s="320"/>
      <c r="AH147" s="320"/>
      <c r="AI147" s="320"/>
      <c r="AJ147" s="320"/>
      <c r="AK147" s="320"/>
      <c r="AL147" s="320"/>
      <c r="AM147" s="320"/>
      <c r="AN147" s="320"/>
      <c r="AO147" s="320"/>
      <c r="AP147" s="320"/>
      <c r="AQ147" s="320"/>
      <c r="AR147" s="320"/>
      <c r="AS147" s="327"/>
      <c r="AT147" s="327"/>
      <c r="AU147" s="327"/>
      <c r="AV147" s="327"/>
      <c r="AW147" s="327"/>
      <c r="AX147" s="327"/>
      <c r="AY147" s="327"/>
      <c r="AZ147" s="327"/>
      <c r="BA147" s="327"/>
      <c r="BB147" s="327"/>
      <c r="BC147" s="11"/>
      <c r="BF147" s="33"/>
      <c r="BG147" s="33"/>
      <c r="BH147" s="33"/>
    </row>
    <row r="148" spans="1:82" ht="13.5" customHeight="1" thickBot="1" x14ac:dyDescent="0.25">
      <c r="B148" s="30"/>
      <c r="C148" s="30"/>
      <c r="D148" s="30"/>
      <c r="F148" s="26"/>
      <c r="G148" s="99"/>
      <c r="H148" s="356"/>
      <c r="I148" s="356"/>
      <c r="J148" s="356"/>
      <c r="K148" s="356"/>
      <c r="L148" s="356"/>
      <c r="M148" s="356"/>
      <c r="N148" s="356"/>
      <c r="O148" s="356"/>
      <c r="P148" s="356"/>
      <c r="Q148" s="356"/>
      <c r="R148" s="356"/>
      <c r="S148" s="356"/>
      <c r="T148" s="356"/>
      <c r="U148" s="356"/>
      <c r="V148" s="356"/>
      <c r="W148" s="356"/>
      <c r="X148" s="356"/>
      <c r="Y148" s="356"/>
      <c r="Z148" s="356"/>
      <c r="AA148" s="356"/>
      <c r="AB148" s="356"/>
      <c r="AC148" s="356"/>
      <c r="AD148" s="356"/>
      <c r="AE148" s="312"/>
      <c r="AF148" s="356"/>
      <c r="AG148" s="356"/>
      <c r="AH148" s="356"/>
      <c r="AI148" s="356"/>
      <c r="AJ148" s="356"/>
      <c r="AK148" s="356"/>
      <c r="AL148" s="356"/>
      <c r="AM148" s="356"/>
      <c r="AN148" s="356"/>
      <c r="AO148" s="356"/>
      <c r="AP148" s="356"/>
      <c r="AQ148" s="323"/>
      <c r="AR148" s="356"/>
      <c r="AS148" s="356"/>
      <c r="AT148" s="356"/>
      <c r="AU148" s="356"/>
      <c r="AV148" s="356"/>
      <c r="AW148" s="356"/>
      <c r="AX148" s="356"/>
      <c r="AY148" s="356"/>
      <c r="AZ148" s="356"/>
      <c r="BA148" s="356"/>
      <c r="BB148" s="356"/>
      <c r="BC148" s="84"/>
      <c r="BD148" s="84"/>
      <c r="BE148" s="84"/>
      <c r="BF148" s="84"/>
      <c r="BG148" s="84"/>
      <c r="BH148" s="84"/>
      <c r="BI148" s="84"/>
      <c r="BJ148" s="84"/>
      <c r="BK148" s="84"/>
      <c r="BL148" s="84"/>
      <c r="BM148" s="84"/>
      <c r="BN148" s="84"/>
      <c r="BO148" s="84"/>
      <c r="BP148" s="84"/>
      <c r="BQ148" s="84"/>
      <c r="BR148" s="84"/>
      <c r="BS148" s="84"/>
      <c r="BT148" s="84"/>
      <c r="BU148" s="84"/>
      <c r="BV148" s="84"/>
      <c r="BW148" s="84"/>
      <c r="BX148" s="84"/>
      <c r="BY148" s="84"/>
      <c r="BZ148" s="84"/>
      <c r="CA148" s="84"/>
      <c r="CB148" s="84"/>
      <c r="CC148" s="84"/>
      <c r="CD148" s="84"/>
    </row>
    <row r="149" spans="1:82" ht="13.5" customHeight="1" thickTop="1" thickBot="1" x14ac:dyDescent="0.25">
      <c r="C149" s="43" t="s">
        <v>221</v>
      </c>
      <c r="D149" s="43"/>
      <c r="F149" s="27"/>
      <c r="G149" s="26"/>
      <c r="H149" s="312"/>
      <c r="I149" s="312"/>
      <c r="J149" s="312"/>
      <c r="K149" s="312"/>
      <c r="L149" s="307"/>
      <c r="M149" s="307"/>
      <c r="N149" s="356"/>
      <c r="O149" s="356"/>
      <c r="P149" s="356"/>
      <c r="Q149" s="356"/>
      <c r="R149" s="356"/>
      <c r="S149" s="356"/>
      <c r="T149" s="338">
        <f t="shared" ref="T149:AD149" si="533">T144+T147-H147</f>
        <v>0</v>
      </c>
      <c r="U149" s="338">
        <f t="shared" si="533"/>
        <v>0</v>
      </c>
      <c r="V149" s="338">
        <f t="shared" si="533"/>
        <v>0</v>
      </c>
      <c r="W149" s="338">
        <f t="shared" si="533"/>
        <v>0</v>
      </c>
      <c r="X149" s="338">
        <f t="shared" si="533"/>
        <v>0</v>
      </c>
      <c r="Y149" s="338">
        <f t="shared" si="533"/>
        <v>0</v>
      </c>
      <c r="Z149" s="338">
        <f t="shared" si="533"/>
        <v>0</v>
      </c>
      <c r="AA149" s="338">
        <f t="shared" si="533"/>
        <v>0</v>
      </c>
      <c r="AB149" s="338">
        <f t="shared" si="533"/>
        <v>0</v>
      </c>
      <c r="AC149" s="338">
        <f t="shared" si="533"/>
        <v>0</v>
      </c>
      <c r="AD149" s="338">
        <f t="shared" si="533"/>
        <v>0</v>
      </c>
      <c r="AE149" s="356"/>
      <c r="AF149" s="356"/>
      <c r="AG149" s="356"/>
      <c r="AH149" s="356"/>
      <c r="AI149" s="356"/>
      <c r="AJ149" s="356"/>
      <c r="AK149" s="356"/>
      <c r="AL149" s="356"/>
      <c r="AM149" s="356"/>
      <c r="AN149" s="356"/>
      <c r="AO149" s="356"/>
      <c r="AP149" s="356"/>
      <c r="AQ149" s="356"/>
      <c r="AR149" s="338">
        <f t="shared" ref="AR149:BB149" si="534">AR144+AR147-AF147</f>
        <v>0</v>
      </c>
      <c r="AS149" s="338">
        <f t="shared" si="534"/>
        <v>0</v>
      </c>
      <c r="AT149" s="338">
        <f t="shared" si="534"/>
        <v>0</v>
      </c>
      <c r="AU149" s="338">
        <f t="shared" si="534"/>
        <v>0</v>
      </c>
      <c r="AV149" s="338">
        <f t="shared" si="534"/>
        <v>0</v>
      </c>
      <c r="AW149" s="338">
        <f t="shared" si="534"/>
        <v>0</v>
      </c>
      <c r="AX149" s="338">
        <f t="shared" si="534"/>
        <v>0</v>
      </c>
      <c r="AY149" s="338">
        <f t="shared" si="534"/>
        <v>0</v>
      </c>
      <c r="AZ149" s="338">
        <f t="shared" si="534"/>
        <v>0</v>
      </c>
      <c r="BA149" s="338">
        <f t="shared" si="534"/>
        <v>0</v>
      </c>
      <c r="BB149" s="338">
        <f t="shared" si="534"/>
        <v>0</v>
      </c>
    </row>
    <row r="150" spans="1:82" ht="13.5" customHeight="1" thickTop="1" x14ac:dyDescent="0.2">
      <c r="C150" s="28" t="s">
        <v>222</v>
      </c>
      <c r="D150" s="28"/>
      <c r="F150" s="27"/>
      <c r="G150" s="26"/>
      <c r="H150" s="27"/>
      <c r="I150" s="27"/>
      <c r="J150" s="27"/>
      <c r="K150" s="27"/>
      <c r="L150" s="26"/>
      <c r="M150" s="26"/>
      <c r="N150" s="99"/>
      <c r="O150" s="99"/>
      <c r="P150" s="99"/>
      <c r="Q150" s="99"/>
      <c r="R150" s="99"/>
      <c r="S150" s="99"/>
      <c r="T150" s="99"/>
      <c r="U150" s="99"/>
      <c r="V150" s="99"/>
      <c r="W150" s="99"/>
      <c r="X150" s="99"/>
      <c r="Y150" s="99"/>
      <c r="Z150" s="99"/>
      <c r="AA150" s="99"/>
      <c r="AB150" s="99"/>
      <c r="AC150" s="99"/>
      <c r="AD150" s="99"/>
      <c r="AE150" s="99"/>
      <c r="AF150" s="99"/>
      <c r="AG150" s="99"/>
      <c r="AH150" s="99"/>
      <c r="AI150" s="99"/>
      <c r="AJ150" s="99"/>
      <c r="AK150" s="99"/>
      <c r="AL150" s="99"/>
      <c r="AM150" s="99"/>
      <c r="AN150" s="99"/>
      <c r="AO150" s="99"/>
      <c r="AP150" s="99"/>
      <c r="AQ150" s="99"/>
      <c r="AR150" s="99"/>
      <c r="AS150" s="99"/>
      <c r="AT150" s="99"/>
      <c r="AU150" s="99"/>
      <c r="AV150" s="99"/>
      <c r="AW150" s="99"/>
      <c r="AX150" s="26"/>
      <c r="AY150" s="26"/>
      <c r="AZ150" s="26"/>
      <c r="BA150" s="26"/>
      <c r="BB150" s="26"/>
    </row>
    <row r="151" spans="1:82" ht="13.5" customHeight="1" x14ac:dyDescent="0.2"/>
    <row r="152" spans="1:82" ht="13.5" customHeight="1" x14ac:dyDescent="0.2"/>
    <row r="153" spans="1:82" ht="13.5" customHeight="1" x14ac:dyDescent="0.2"/>
    <row r="154" spans="1:82" ht="13.5" customHeight="1" x14ac:dyDescent="0.2"/>
    <row r="155" spans="1:82" ht="13.5" customHeight="1" x14ac:dyDescent="0.2"/>
    <row r="156" spans="1:82" ht="13.5" customHeight="1" x14ac:dyDescent="0.2"/>
    <row r="157" spans="1:82" ht="13.5" customHeight="1" x14ac:dyDescent="0.2"/>
    <row r="158" spans="1:82" ht="13.5" customHeight="1" x14ac:dyDescent="0.2"/>
    <row r="159" spans="1:82" ht="13.5" customHeight="1" x14ac:dyDescent="0.2"/>
    <row r="160" spans="1:82" ht="13.5" customHeight="1" x14ac:dyDescent="0.2"/>
    <row r="161" ht="13.5" customHeight="1" x14ac:dyDescent="0.2"/>
    <row r="162" ht="13.5" customHeight="1" x14ac:dyDescent="0.2"/>
    <row r="163" ht="13.5" customHeight="1" x14ac:dyDescent="0.2"/>
    <row r="164" ht="13.5" customHeight="1" x14ac:dyDescent="0.2"/>
    <row r="165" ht="13.5" customHeight="1" x14ac:dyDescent="0.2"/>
    <row r="166" ht="13.5" customHeight="1" x14ac:dyDescent="0.2"/>
    <row r="167" ht="13.5" customHeight="1" x14ac:dyDescent="0.2"/>
    <row r="168" ht="13.5" customHeight="1" x14ac:dyDescent="0.2"/>
    <row r="169" ht="13.5" customHeight="1" x14ac:dyDescent="0.2"/>
    <row r="170" ht="13.5" customHeight="1" x14ac:dyDescent="0.2"/>
    <row r="171" ht="13.5" customHeight="1" x14ac:dyDescent="0.2"/>
    <row r="172" ht="13.5" customHeight="1" x14ac:dyDescent="0.2"/>
    <row r="173" ht="13.5" customHeight="1" x14ac:dyDescent="0.2"/>
    <row r="174" ht="13.5" customHeight="1" x14ac:dyDescent="0.2"/>
    <row r="175" ht="13.5" customHeight="1" x14ac:dyDescent="0.2"/>
    <row r="176" ht="13.5" customHeight="1" x14ac:dyDescent="0.2"/>
    <row r="177" spans="9:9" ht="13.5" customHeight="1" x14ac:dyDescent="0.2"/>
    <row r="178" spans="9:9" ht="13.5" customHeight="1" x14ac:dyDescent="0.2"/>
    <row r="179" spans="9:9" ht="13.5" customHeight="1" x14ac:dyDescent="0.2"/>
    <row r="180" spans="9:9" ht="13.5" customHeight="1" x14ac:dyDescent="0.2"/>
    <row r="181" spans="9:9" ht="13.5" customHeight="1" x14ac:dyDescent="0.2"/>
    <row r="182" spans="9:9" ht="13.5" customHeight="1" x14ac:dyDescent="0.2"/>
    <row r="183" spans="9:9" ht="13.5" customHeight="1" x14ac:dyDescent="0.2"/>
    <row r="184" spans="9:9" ht="13.5" customHeight="1" x14ac:dyDescent="0.2"/>
    <row r="185" spans="9:9" ht="13.5" customHeight="1" x14ac:dyDescent="0.2">
      <c r="I185" s="163"/>
    </row>
    <row r="186" spans="9:9" ht="13.5" customHeight="1" x14ac:dyDescent="0.2"/>
    <row r="187" spans="9:9" ht="13.5" customHeight="1" x14ac:dyDescent="0.2"/>
    <row r="188" spans="9:9" ht="13.5" customHeight="1" x14ac:dyDescent="0.2"/>
    <row r="189" spans="9:9" ht="13.5" customHeight="1" x14ac:dyDescent="0.2"/>
    <row r="190" spans="9:9" ht="13.5" customHeight="1" x14ac:dyDescent="0.2"/>
    <row r="191" spans="9:9" ht="13.5" customHeight="1" x14ac:dyDescent="0.2"/>
    <row r="192" spans="9:9" ht="13.5" customHeight="1" x14ac:dyDescent="0.2"/>
    <row r="193" ht="13.5" customHeight="1" x14ac:dyDescent="0.2"/>
    <row r="194" ht="13.5" customHeight="1" x14ac:dyDescent="0.2"/>
    <row r="195" ht="13.5" customHeight="1" x14ac:dyDescent="0.2"/>
    <row r="196" ht="13.5" customHeight="1" x14ac:dyDescent="0.2"/>
    <row r="197" ht="13.5" customHeight="1" x14ac:dyDescent="0.2"/>
    <row r="198" ht="13.5" customHeight="1" x14ac:dyDescent="0.2"/>
    <row r="199" ht="13.5" customHeight="1" x14ac:dyDescent="0.2"/>
    <row r="200" ht="13.5" customHeight="1" x14ac:dyDescent="0.2"/>
    <row r="201" ht="13.5" customHeight="1" x14ac:dyDescent="0.2"/>
    <row r="202" ht="13.5" customHeight="1" x14ac:dyDescent="0.2"/>
  </sheetData>
  <sheetProtection algorithmName="SHA-512" hashValue="h0kv/6aLED+JfCtEwtuRLDkRd0FlvcMS+nJEJqlatK5vLFMU98dUpkUIL+3eEz5ChNNXTKBg9Pe2xiAQw314wQ==" saltValue="DYoU5zf2hrqiLjF481UOXA==" spinCount="100000" sheet="1" formatRows="0" sort="0" autoFilter="0"/>
  <dataConsolidate/>
  <mergeCells count="3">
    <mergeCell ref="D8:E8"/>
    <mergeCell ref="H80:I80"/>
    <mergeCell ref="H81:I81"/>
  </mergeCells>
  <dataValidations count="2">
    <dataValidation type="list" allowBlank="1" showInputMessage="1" showErrorMessage="1" sqref="S22 AE22 R94:S94 AE94">
      <formula1>#REF!</formula1>
    </dataValidation>
    <dataValidation type="list" allowBlank="1" showInputMessage="1" showErrorMessage="1" sqref="D119">
      <formula1>$Q$3:$Q$10</formula1>
    </dataValidation>
  </dataValidations>
  <pageMargins left="0.7" right="0.7" top="0.75" bottom="0.75" header="0.3" footer="0.3"/>
  <pageSetup paperSize="9" scale="43"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Hulptabellen!$L$4:$L$11</xm:f>
          </x14:formula1>
          <xm:sqref>D47</xm:sqref>
        </x14:dataValidation>
        <x14:dataValidation type="list" allowBlank="1" showInputMessage="1" showErrorMessage="1">
          <x14:formula1>
            <xm:f>'Tabellen PO-Raad'!$A$16:$A$22</xm:f>
          </x14:formula1>
          <xm:sqref>G47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AT72"/>
  <sheetViews>
    <sheetView zoomScale="70" zoomScaleNormal="70" workbookViewId="0">
      <pane xSplit="3" topLeftCell="D1" activePane="topRight" state="frozen"/>
      <selection pane="topRight" activeCell="J12" sqref="J12"/>
    </sheetView>
  </sheetViews>
  <sheetFormatPr defaultColWidth="9.140625" defaultRowHeight="15" x14ac:dyDescent="0.25"/>
  <cols>
    <col min="1" max="1" width="4" style="37" customWidth="1"/>
    <col min="2" max="2" width="2.42578125" style="37" customWidth="1"/>
    <col min="3" max="3" width="51.5703125" style="37" customWidth="1"/>
    <col min="4" max="13" width="13.7109375" style="37" customWidth="1"/>
    <col min="14" max="14" width="3.5703125" style="37" customWidth="1"/>
    <col min="15" max="24" width="13.7109375" style="37" customWidth="1"/>
    <col min="25" max="25" width="3" style="37" customWidth="1"/>
    <col min="26" max="35" width="13.7109375" style="37" customWidth="1"/>
    <col min="36" max="36" width="5.140625" style="37" customWidth="1"/>
    <col min="37" max="46" width="13.7109375" style="37" customWidth="1"/>
    <col min="47" max="16384" width="9.140625" style="37"/>
  </cols>
  <sheetData>
    <row r="8" spans="2:46" ht="23.25" x14ac:dyDescent="0.25">
      <c r="B8" s="372" t="s">
        <v>182</v>
      </c>
      <c r="D8" s="360"/>
      <c r="E8" s="360"/>
      <c r="F8" s="361"/>
      <c r="G8" s="361"/>
      <c r="H8" s="361"/>
    </row>
    <row r="9" spans="2:46" ht="23.25" x14ac:dyDescent="0.25">
      <c r="B9" s="373" t="e">
        <f>+#REF! &amp;" " &amp;#REF!</f>
        <v>#REF!</v>
      </c>
      <c r="L9" s="362"/>
      <c r="M9" s="363"/>
      <c r="N9" s="363"/>
    </row>
    <row r="10" spans="2:46" x14ac:dyDescent="0.25">
      <c r="B10" s="104"/>
      <c r="C10" s="10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row>
    <row r="11" spans="2:46" ht="23.25" x14ac:dyDescent="0.25">
      <c r="B11" s="104"/>
      <c r="C11" s="104"/>
      <c r="D11" s="381" t="s">
        <v>138</v>
      </c>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row>
    <row r="12" spans="2:46" ht="15.75" thickBot="1" x14ac:dyDescent="0.3">
      <c r="B12" s="104"/>
      <c r="C12" s="365" t="s">
        <v>55</v>
      </c>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row>
    <row r="13" spans="2:46" ht="16.5" thickTop="1" thickBot="1" x14ac:dyDescent="0.3">
      <c r="B13" s="104"/>
      <c r="C13" s="104"/>
      <c r="D13" s="317" t="s">
        <v>133</v>
      </c>
      <c r="E13" s="317"/>
      <c r="F13" s="317"/>
      <c r="G13" s="317"/>
      <c r="H13" s="317"/>
      <c r="I13" s="317"/>
      <c r="J13" s="317"/>
      <c r="K13" s="317"/>
      <c r="L13" s="317"/>
      <c r="M13" s="317"/>
      <c r="N13" s="364"/>
      <c r="O13" s="317" t="s">
        <v>133</v>
      </c>
      <c r="P13" s="317"/>
      <c r="Q13" s="317"/>
      <c r="R13" s="317"/>
      <c r="S13" s="317"/>
      <c r="T13" s="317"/>
      <c r="U13" s="317"/>
      <c r="V13" s="317"/>
      <c r="W13" s="317"/>
      <c r="X13" s="317"/>
      <c r="Y13" s="364"/>
      <c r="Z13" s="317" t="s">
        <v>134</v>
      </c>
      <c r="AA13" s="317"/>
      <c r="AB13" s="317"/>
      <c r="AC13" s="317"/>
      <c r="AD13" s="317"/>
      <c r="AE13" s="317"/>
      <c r="AF13" s="317"/>
      <c r="AG13" s="317"/>
      <c r="AH13" s="317"/>
      <c r="AI13" s="317"/>
      <c r="AJ13" s="364"/>
      <c r="AK13" s="317" t="s">
        <v>134</v>
      </c>
      <c r="AL13" s="317"/>
      <c r="AM13" s="317"/>
      <c r="AN13" s="317"/>
      <c r="AO13" s="317"/>
      <c r="AP13" s="317"/>
      <c r="AQ13" s="317"/>
      <c r="AR13" s="317"/>
      <c r="AS13" s="317"/>
      <c r="AT13" s="317"/>
    </row>
    <row r="14" spans="2:46" ht="16.5" thickTop="1" thickBot="1" x14ac:dyDescent="0.3">
      <c r="B14" s="42"/>
      <c r="C14" s="365"/>
      <c r="D14" s="318" t="s">
        <v>124</v>
      </c>
      <c r="E14" s="318"/>
      <c r="F14" s="318"/>
      <c r="G14" s="318"/>
      <c r="H14" s="318"/>
      <c r="I14" s="318"/>
      <c r="J14" s="318"/>
      <c r="K14" s="318"/>
      <c r="L14" s="318"/>
      <c r="M14" s="318"/>
      <c r="N14" s="364"/>
      <c r="O14" s="318" t="s">
        <v>125</v>
      </c>
      <c r="P14" s="318"/>
      <c r="Q14" s="318"/>
      <c r="R14" s="318"/>
      <c r="S14" s="318"/>
      <c r="T14" s="318"/>
      <c r="U14" s="318"/>
      <c r="V14" s="318"/>
      <c r="W14" s="318"/>
      <c r="X14" s="318"/>
      <c r="Y14" s="364"/>
      <c r="Z14" s="318" t="s">
        <v>124</v>
      </c>
      <c r="AA14" s="318"/>
      <c r="AB14" s="318"/>
      <c r="AC14" s="318"/>
      <c r="AD14" s="318"/>
      <c r="AE14" s="318"/>
      <c r="AF14" s="318"/>
      <c r="AG14" s="318"/>
      <c r="AH14" s="318"/>
      <c r="AI14" s="318"/>
      <c r="AJ14" s="364"/>
      <c r="AK14" s="318" t="s">
        <v>125</v>
      </c>
      <c r="AL14" s="318"/>
      <c r="AM14" s="318"/>
      <c r="AN14" s="318"/>
      <c r="AO14" s="318"/>
      <c r="AP14" s="318"/>
      <c r="AQ14" s="318"/>
      <c r="AR14" s="318"/>
      <c r="AS14" s="318"/>
      <c r="AT14" s="318"/>
    </row>
    <row r="15" spans="2:46" ht="16.5" thickTop="1" thickBot="1" x14ac:dyDescent="0.3">
      <c r="B15" s="42"/>
      <c r="C15" s="365"/>
      <c r="D15" s="318">
        <f>'Loonkosten uitgebreid'!H20</f>
        <v>2023</v>
      </c>
      <c r="E15" s="318">
        <f>'Loonkosten uitgebreid'!I20</f>
        <v>2024</v>
      </c>
      <c r="F15" s="318">
        <f>'Loonkosten uitgebreid'!J20</f>
        <v>2025</v>
      </c>
      <c r="G15" s="318" t="str">
        <f>'Loonkosten uitgebreid'!K20</f>
        <v>[leeg]</v>
      </c>
      <c r="H15" s="318" t="str">
        <f>'Loonkosten uitgebreid'!L20</f>
        <v>[leeg]</v>
      </c>
      <c r="I15" s="318" t="str">
        <f>'Loonkosten uitgebreid'!M20</f>
        <v>[leeg]</v>
      </c>
      <c r="J15" s="318" t="str">
        <f>'Loonkosten uitgebreid'!N20</f>
        <v>[leeg]</v>
      </c>
      <c r="K15" s="318" t="str">
        <f>'Loonkosten uitgebreid'!O20</f>
        <v>[leeg]</v>
      </c>
      <c r="L15" s="318" t="str">
        <f>'Loonkosten uitgebreid'!P20</f>
        <v>[leeg]</v>
      </c>
      <c r="M15" s="318" t="str">
        <f>'Loonkosten uitgebreid'!Q20</f>
        <v>[leeg]</v>
      </c>
      <c r="N15" s="364"/>
      <c r="O15" s="318">
        <f t="shared" ref="O15:X15" si="0">D15</f>
        <v>2023</v>
      </c>
      <c r="P15" s="318">
        <f t="shared" si="0"/>
        <v>2024</v>
      </c>
      <c r="Q15" s="318">
        <f t="shared" si="0"/>
        <v>2025</v>
      </c>
      <c r="R15" s="318" t="str">
        <f t="shared" si="0"/>
        <v>[leeg]</v>
      </c>
      <c r="S15" s="318" t="str">
        <f t="shared" si="0"/>
        <v>[leeg]</v>
      </c>
      <c r="T15" s="318" t="str">
        <f t="shared" si="0"/>
        <v>[leeg]</v>
      </c>
      <c r="U15" s="318" t="str">
        <f t="shared" si="0"/>
        <v>[leeg]</v>
      </c>
      <c r="V15" s="318" t="str">
        <f t="shared" si="0"/>
        <v>[leeg]</v>
      </c>
      <c r="W15" s="318" t="str">
        <f t="shared" si="0"/>
        <v>[leeg]</v>
      </c>
      <c r="X15" s="318" t="str">
        <f t="shared" si="0"/>
        <v>[leeg]</v>
      </c>
      <c r="Y15" s="364"/>
      <c r="Z15" s="318">
        <f t="shared" ref="Z15:AI15" si="1">O15</f>
        <v>2023</v>
      </c>
      <c r="AA15" s="318">
        <f t="shared" si="1"/>
        <v>2024</v>
      </c>
      <c r="AB15" s="318">
        <f t="shared" si="1"/>
        <v>2025</v>
      </c>
      <c r="AC15" s="318" t="str">
        <f t="shared" si="1"/>
        <v>[leeg]</v>
      </c>
      <c r="AD15" s="318" t="str">
        <f t="shared" si="1"/>
        <v>[leeg]</v>
      </c>
      <c r="AE15" s="318" t="str">
        <f t="shared" si="1"/>
        <v>[leeg]</v>
      </c>
      <c r="AF15" s="318" t="str">
        <f t="shared" si="1"/>
        <v>[leeg]</v>
      </c>
      <c r="AG15" s="318" t="str">
        <f t="shared" si="1"/>
        <v>[leeg]</v>
      </c>
      <c r="AH15" s="318" t="str">
        <f t="shared" si="1"/>
        <v>[leeg]</v>
      </c>
      <c r="AI15" s="318" t="str">
        <f t="shared" si="1"/>
        <v>[leeg]</v>
      </c>
      <c r="AJ15" s="364"/>
      <c r="AK15" s="318">
        <f t="shared" ref="AK15:AT15" si="2">Z15</f>
        <v>2023</v>
      </c>
      <c r="AL15" s="318">
        <f t="shared" si="2"/>
        <v>2024</v>
      </c>
      <c r="AM15" s="318">
        <f t="shared" si="2"/>
        <v>2025</v>
      </c>
      <c r="AN15" s="318" t="str">
        <f t="shared" si="2"/>
        <v>[leeg]</v>
      </c>
      <c r="AO15" s="318" t="str">
        <f t="shared" si="2"/>
        <v>[leeg]</v>
      </c>
      <c r="AP15" s="318" t="str">
        <f t="shared" si="2"/>
        <v>[leeg]</v>
      </c>
      <c r="AQ15" s="318" t="str">
        <f t="shared" si="2"/>
        <v>[leeg]</v>
      </c>
      <c r="AR15" s="318" t="str">
        <f t="shared" si="2"/>
        <v>[leeg]</v>
      </c>
      <c r="AS15" s="318" t="str">
        <f t="shared" si="2"/>
        <v>[leeg]</v>
      </c>
      <c r="AT15" s="318" t="str">
        <f t="shared" si="2"/>
        <v>[leeg]</v>
      </c>
    </row>
    <row r="16" spans="2:46" ht="16.5" thickTop="1" thickBot="1" x14ac:dyDescent="0.3">
      <c r="B16" s="42"/>
      <c r="C16" s="42" t="s">
        <v>62</v>
      </c>
      <c r="D16" s="366"/>
      <c r="E16" s="366"/>
      <c r="F16" s="366"/>
      <c r="G16" s="366"/>
      <c r="H16" s="366"/>
      <c r="I16" s="366"/>
      <c r="J16" s="366"/>
      <c r="K16" s="366"/>
      <c r="L16" s="366"/>
      <c r="M16" s="366"/>
      <c r="N16" s="364"/>
      <c r="O16" s="366"/>
      <c r="P16" s="366"/>
      <c r="Q16" s="366"/>
      <c r="R16" s="366"/>
      <c r="S16" s="366"/>
      <c r="T16" s="366"/>
      <c r="U16" s="366"/>
      <c r="V16" s="366"/>
      <c r="W16" s="366"/>
      <c r="X16" s="366"/>
      <c r="Y16" s="364"/>
      <c r="Z16" s="366"/>
      <c r="AA16" s="366"/>
      <c r="AB16" s="366"/>
      <c r="AC16" s="366"/>
      <c r="AD16" s="366"/>
      <c r="AE16" s="366"/>
      <c r="AF16" s="366"/>
      <c r="AG16" s="366"/>
      <c r="AH16" s="366"/>
      <c r="AI16" s="366"/>
      <c r="AJ16" s="364"/>
      <c r="AK16" s="366"/>
      <c r="AL16" s="366"/>
      <c r="AM16" s="366"/>
      <c r="AN16" s="366"/>
      <c r="AO16" s="366"/>
      <c r="AP16" s="366"/>
      <c r="AQ16" s="366"/>
      <c r="AR16" s="366"/>
      <c r="AS16" s="366"/>
      <c r="AT16" s="366"/>
    </row>
    <row r="17" spans="2:46" ht="16.5" thickTop="1" thickBot="1" x14ac:dyDescent="0.3">
      <c r="B17" s="42"/>
      <c r="C17" s="365" t="s">
        <v>143</v>
      </c>
      <c r="D17" s="374">
        <f>IF(D$15&lt;"[leeg]",'Loonkosten uitgebreid'!H35,0)</f>
        <v>5493.86</v>
      </c>
      <c r="E17" s="374">
        <f>IF(E$15&lt;"[leeg]",'Loonkosten uitgebreid'!I35,0)</f>
        <v>5493.86</v>
      </c>
      <c r="F17" s="374">
        <f>IF(F$15&lt;"[leeg]",'Loonkosten uitgebreid'!J35,0)</f>
        <v>5493.86</v>
      </c>
      <c r="G17" s="374">
        <f>IF(G$15&lt;"[leeg]",'Loonkosten uitgebreid'!K35,0)</f>
        <v>0</v>
      </c>
      <c r="H17" s="374">
        <f>IF(H$15&lt;"[leeg]",'Loonkosten uitgebreid'!L35,0)</f>
        <v>0</v>
      </c>
      <c r="I17" s="374">
        <f>IF(I$15&lt;"[leeg]",'Loonkosten uitgebreid'!M35,0)</f>
        <v>0</v>
      </c>
      <c r="J17" s="374">
        <f>IF(J$15&lt;"[leeg]",'Loonkosten uitgebreid'!N35,0)</f>
        <v>0</v>
      </c>
      <c r="K17" s="374">
        <f>IF(K$15&lt;"[leeg]",'Loonkosten uitgebreid'!O35,0)</f>
        <v>0</v>
      </c>
      <c r="L17" s="374">
        <f>IF(L$15&lt;"[leeg]",'Loonkosten uitgebreid'!P35,0)</f>
        <v>0</v>
      </c>
      <c r="M17" s="374">
        <f>IF(M$15&lt;"[leeg]",'Loonkosten uitgebreid'!Q35,0)</f>
        <v>0</v>
      </c>
      <c r="N17" s="364"/>
      <c r="O17" s="374">
        <f>IF(O$15&lt;&gt;"[leeg]",'Loonkosten uitgebreid'!T35,0)</f>
        <v>5036.5599999999995</v>
      </c>
      <c r="P17" s="374">
        <f>IF(P$15&lt;&gt;"[leeg]",'Loonkosten uitgebreid'!U35,0)</f>
        <v>5036.5599999999995</v>
      </c>
      <c r="Q17" s="374">
        <f>IF(Q$15&lt;&gt;"[leeg]",'Loonkosten uitgebreid'!V35,0)</f>
        <v>5036.5599999999995</v>
      </c>
      <c r="R17" s="374">
        <f>IF(R$15&lt;&gt;"[leeg]",'Loonkosten uitgebreid'!W35,0)</f>
        <v>0</v>
      </c>
      <c r="S17" s="374">
        <f>IF(S$15&lt;&gt;"[leeg]",'Loonkosten uitgebreid'!X35,0)</f>
        <v>0</v>
      </c>
      <c r="T17" s="374">
        <f>IF(T$15&lt;&gt;"[leeg]",'Loonkosten uitgebreid'!Y35,0)</f>
        <v>0</v>
      </c>
      <c r="U17" s="374">
        <f>IF(U$15&lt;&gt;"[leeg]",'Loonkosten uitgebreid'!Z35,0)</f>
        <v>0</v>
      </c>
      <c r="V17" s="374">
        <f>IF(V$15&lt;&gt;"[leeg]",'Loonkosten uitgebreid'!AA35,0)</f>
        <v>0</v>
      </c>
      <c r="W17" s="374">
        <f>IF(W$15&lt;&gt;"[leeg]",'Loonkosten uitgebreid'!AB35,0)</f>
        <v>0</v>
      </c>
      <c r="X17" s="374">
        <f>IF(X$15&lt;&gt;"[leeg]",'Loonkosten uitgebreid'!AC35,0)</f>
        <v>0</v>
      </c>
      <c r="Y17" s="364"/>
      <c r="Z17" s="374">
        <f>IF(Z15&lt;&gt;"[leeg]",'Loonkosten uitgebreid'!AF35,0)</f>
        <v>65926.319999999992</v>
      </c>
      <c r="AA17" s="374">
        <f>IF(AA15&lt;&gt;"[leeg]",'Loonkosten uitgebreid'!AG35,0)</f>
        <v>65926.319999999992</v>
      </c>
      <c r="AB17" s="374">
        <f>IF(AB15&lt;&gt;"[leeg]",'Loonkosten uitgebreid'!AH35,0)</f>
        <v>65926.319999999992</v>
      </c>
      <c r="AC17" s="374">
        <f>IF(AC15&lt;&gt;"[leeg]",'Loonkosten uitgebreid'!AI35,0)</f>
        <v>0</v>
      </c>
      <c r="AD17" s="374">
        <f>IF(AD15&lt;&gt;"[leeg]",'Loonkosten uitgebreid'!AJ35,0)</f>
        <v>0</v>
      </c>
      <c r="AE17" s="374">
        <f>IF(AE15&lt;&gt;"[leeg]",'Loonkosten uitgebreid'!AK35,0)</f>
        <v>0</v>
      </c>
      <c r="AF17" s="374">
        <f>IF(AF15&lt;&gt;"[leeg]",'Loonkosten uitgebreid'!AL35,0)</f>
        <v>0</v>
      </c>
      <c r="AG17" s="374">
        <f>IF(AG15&lt;&gt;"[leeg]",'Loonkosten uitgebreid'!AM35,0)</f>
        <v>0</v>
      </c>
      <c r="AH17" s="374">
        <f>IF(AH15&lt;&gt;"[leeg]",'Loonkosten uitgebreid'!AN35,0)</f>
        <v>0</v>
      </c>
      <c r="AI17" s="374">
        <f>IF(AI15&lt;&gt;"[leeg]",'Loonkosten uitgebreid'!AO35,0)</f>
        <v>0</v>
      </c>
      <c r="AJ17" s="364"/>
      <c r="AK17" s="376">
        <f>IF(AK15&lt;&gt;"[leeg]",'Loonkosten uitgebreid'!AR35,0)</f>
        <v>60438.719999999994</v>
      </c>
      <c r="AL17" s="376">
        <f>IF(AL15&lt;&gt;"[leeg]",'Loonkosten uitgebreid'!AS35,0)</f>
        <v>60438.719999999994</v>
      </c>
      <c r="AM17" s="376">
        <f>IF(AM15&lt;&gt;"[leeg]",'Loonkosten uitgebreid'!AT35,0)</f>
        <v>60438.719999999994</v>
      </c>
      <c r="AN17" s="376">
        <f>IF(AN15&lt;&gt;"[leeg]",'Loonkosten uitgebreid'!AU35,0)</f>
        <v>0</v>
      </c>
      <c r="AO17" s="376">
        <f>IF(AO15&lt;&gt;"[leeg]",'Loonkosten uitgebreid'!AV35,0)</f>
        <v>0</v>
      </c>
      <c r="AP17" s="376">
        <f>IF(AP15&lt;&gt;"[leeg]",'Loonkosten uitgebreid'!AW35,0)</f>
        <v>0</v>
      </c>
      <c r="AQ17" s="376">
        <f>IF(AQ15&lt;&gt;"[leeg]",'Loonkosten uitgebreid'!AX35,0)</f>
        <v>0</v>
      </c>
      <c r="AR17" s="376">
        <f>IF(AR15&lt;&gt;"[leeg]",'Loonkosten uitgebreid'!AY35,0)</f>
        <v>0</v>
      </c>
      <c r="AS17" s="376">
        <f>IF(AS15&lt;&gt;"[leeg]",'Loonkosten uitgebreid'!AZ35,0)</f>
        <v>0</v>
      </c>
      <c r="AT17" s="376">
        <f>IF(AT15&lt;&gt;"[leeg]",'Loonkosten uitgebreid'!BA35,0)</f>
        <v>0</v>
      </c>
    </row>
    <row r="18" spans="2:46" ht="16.5" thickTop="1" thickBot="1" x14ac:dyDescent="0.3">
      <c r="B18" s="42"/>
      <c r="C18" s="42" t="s">
        <v>15</v>
      </c>
      <c r="D18" s="374">
        <f>IF(D15&lt;&gt;"[leeg]",'Loonkosten uitgebreid'!H36,0)</f>
        <v>5493.86</v>
      </c>
      <c r="E18" s="374">
        <f>IF(E15&lt;&gt;"[leeg]",'Loonkosten uitgebreid'!I36,0)</f>
        <v>5493.86</v>
      </c>
      <c r="F18" s="374">
        <f>IF(F15&lt;&gt;"[leeg]",'Loonkosten uitgebreid'!J36,0)</f>
        <v>5493.86</v>
      </c>
      <c r="G18" s="374">
        <f>IF(G15&lt;&gt;"[leeg]",'Loonkosten uitgebreid'!K36,0)</f>
        <v>0</v>
      </c>
      <c r="H18" s="374">
        <f>IF(H15&lt;&gt;"[leeg]",'Loonkosten uitgebreid'!L36,0)</f>
        <v>0</v>
      </c>
      <c r="I18" s="374">
        <f>IF(I15&lt;&gt;"[leeg]",'Loonkosten uitgebreid'!M36,0)</f>
        <v>0</v>
      </c>
      <c r="J18" s="374">
        <f>IF(J15&lt;&gt;"[leeg]",'Loonkosten uitgebreid'!N36,0)</f>
        <v>0</v>
      </c>
      <c r="K18" s="374">
        <f>IF(K15&lt;&gt;"[leeg]",'Loonkosten uitgebreid'!O36,0)</f>
        <v>0</v>
      </c>
      <c r="L18" s="374">
        <f>IF(L15&lt;&gt;"[leeg]",'Loonkosten uitgebreid'!P36,0)</f>
        <v>0</v>
      </c>
      <c r="M18" s="374">
        <f>IF(M15&lt;&gt;"[leeg]",'Loonkosten uitgebreid'!Q36,0)</f>
        <v>0</v>
      </c>
      <c r="N18" s="364"/>
      <c r="O18" s="374">
        <f>IF(O$15&lt;&gt;"[leeg]",'Loonkosten uitgebreid'!T36,0)</f>
        <v>5493.86</v>
      </c>
      <c r="P18" s="374">
        <f>IF(P$15&lt;&gt;"[leeg]",'Loonkosten uitgebreid'!U36,0)</f>
        <v>5493.86</v>
      </c>
      <c r="Q18" s="374">
        <f>IF(Q$15&lt;&gt;"[leeg]",'Loonkosten uitgebreid'!V36,0)</f>
        <v>5493.86</v>
      </c>
      <c r="R18" s="374">
        <f>IF(R$15&lt;&gt;"[leeg]",'Loonkosten uitgebreid'!W36,0)</f>
        <v>0</v>
      </c>
      <c r="S18" s="374">
        <f>IF(S$15&lt;&gt;"[leeg]",'Loonkosten uitgebreid'!X36,0)</f>
        <v>0</v>
      </c>
      <c r="T18" s="374">
        <f>IF(T$15&lt;&gt;"[leeg]",'Loonkosten uitgebreid'!Y36,0)</f>
        <v>0</v>
      </c>
      <c r="U18" s="374">
        <f>IF(U$15&lt;&gt;"[leeg]",'Loonkosten uitgebreid'!Z36,0)</f>
        <v>0</v>
      </c>
      <c r="V18" s="374">
        <f>IF(V$15&lt;&gt;"[leeg]",'Loonkosten uitgebreid'!AA36,0)</f>
        <v>0</v>
      </c>
      <c r="W18" s="374">
        <f>IF(W$15&lt;&gt;"[leeg]",'Loonkosten uitgebreid'!AB36,0)</f>
        <v>0</v>
      </c>
      <c r="X18" s="374">
        <f>IF(X$15&lt;&gt;"[leeg]",'Loonkosten uitgebreid'!AC36,0)</f>
        <v>0</v>
      </c>
      <c r="Y18" s="364"/>
      <c r="Z18" s="374">
        <f>IF(Z15&lt;&gt;"[leeg]",'Loonkosten uitgebreid'!AF36,0)</f>
        <v>65926.319999999992</v>
      </c>
      <c r="AA18" s="374">
        <f>IF(AA15&lt;&gt;"[leeg]",'Loonkosten uitgebreid'!AG36,0)</f>
        <v>65926.319999999992</v>
      </c>
      <c r="AB18" s="374">
        <f>IF(AB15&lt;&gt;"[leeg]",'Loonkosten uitgebreid'!AH36,0)</f>
        <v>65926.319999999992</v>
      </c>
      <c r="AC18" s="374">
        <f>IF(AC15&lt;&gt;"[leeg]",'Loonkosten uitgebreid'!AI36,0)</f>
        <v>0</v>
      </c>
      <c r="AD18" s="374">
        <f>IF(AD15&lt;&gt;"[leeg]",'Loonkosten uitgebreid'!AJ36,0)</f>
        <v>0</v>
      </c>
      <c r="AE18" s="374">
        <f>IF(AE15&lt;&gt;"[leeg]",'Loonkosten uitgebreid'!AK36,0)</f>
        <v>0</v>
      </c>
      <c r="AF18" s="374">
        <f>IF(AF15&lt;&gt;"[leeg]",'Loonkosten uitgebreid'!AL36,0)</f>
        <v>0</v>
      </c>
      <c r="AG18" s="374">
        <f>IF(AG15&lt;&gt;"[leeg]",'Loonkosten uitgebreid'!AM36,0)</f>
        <v>0</v>
      </c>
      <c r="AH18" s="374">
        <f>IF(AH15&lt;&gt;"[leeg]",'Loonkosten uitgebreid'!AN36,0)</f>
        <v>0</v>
      </c>
      <c r="AI18" s="374">
        <f>IF(AI15&lt;&gt;"[leeg]",'Loonkosten uitgebreid'!AO36,0)</f>
        <v>0</v>
      </c>
      <c r="AJ18" s="364"/>
      <c r="AK18" s="377">
        <f>IF(AK15&lt;&gt;"[leeg]",'Loonkosten uitgebreid'!AR36,0)</f>
        <v>60438.719999999994</v>
      </c>
      <c r="AL18" s="377">
        <f>IF(AL15&lt;&gt;"[leeg]",'Loonkosten uitgebreid'!AS36,0)</f>
        <v>60438.719999999994</v>
      </c>
      <c r="AM18" s="377">
        <f>IF(AM15&lt;&gt;"[leeg]",'Loonkosten uitgebreid'!AT36,0)</f>
        <v>60438.719999999994</v>
      </c>
      <c r="AN18" s="377">
        <f>IF(AN15&lt;&gt;"[leeg]",'Loonkosten uitgebreid'!AU36,0)</f>
        <v>0</v>
      </c>
      <c r="AO18" s="377">
        <f>IF(AO15&lt;&gt;"[leeg]",'Loonkosten uitgebreid'!AV36,0)</f>
        <v>0</v>
      </c>
      <c r="AP18" s="377">
        <f>IF(AP15&lt;&gt;"[leeg]",'Loonkosten uitgebreid'!AW36,0)</f>
        <v>0</v>
      </c>
      <c r="AQ18" s="377">
        <f>IF(AQ15&lt;&gt;"[leeg]",'Loonkosten uitgebreid'!AX36,0)</f>
        <v>0</v>
      </c>
      <c r="AR18" s="377">
        <f>IF(AR15&lt;&gt;"[leeg]",'Loonkosten uitgebreid'!AY36,0)</f>
        <v>0</v>
      </c>
      <c r="AS18" s="377">
        <f>IF(AS15&lt;&gt;"[leeg]",'Loonkosten uitgebreid'!AZ36,0)</f>
        <v>0</v>
      </c>
      <c r="AT18" s="377">
        <f>IF(AT15&lt;&gt;"[leeg]",'Loonkosten uitgebreid'!BA36,0)</f>
        <v>0</v>
      </c>
    </row>
    <row r="19" spans="2:46" ht="15.75" collapsed="1" thickTop="1" x14ac:dyDescent="0.25">
      <c r="B19" s="42"/>
      <c r="C19" s="42"/>
      <c r="D19" s="366"/>
      <c r="E19" s="366"/>
      <c r="F19" s="366"/>
      <c r="G19" s="366"/>
      <c r="H19" s="366"/>
      <c r="I19" s="366"/>
      <c r="J19" s="366"/>
      <c r="K19" s="366"/>
      <c r="L19" s="366"/>
      <c r="M19" s="366"/>
      <c r="N19" s="364"/>
      <c r="O19" s="366"/>
      <c r="P19" s="366"/>
      <c r="Q19" s="366"/>
      <c r="R19" s="366"/>
      <c r="S19" s="366"/>
      <c r="T19" s="366"/>
      <c r="U19" s="366"/>
      <c r="V19" s="366"/>
      <c r="W19" s="366"/>
      <c r="X19" s="366"/>
      <c r="Y19" s="364"/>
      <c r="Z19" s="366"/>
      <c r="AA19" s="366"/>
      <c r="AB19" s="366"/>
      <c r="AC19" s="366"/>
      <c r="AD19" s="366"/>
      <c r="AE19" s="366"/>
      <c r="AF19" s="366"/>
      <c r="AG19" s="366"/>
      <c r="AH19" s="366"/>
      <c r="AI19" s="366"/>
      <c r="AJ19" s="364"/>
      <c r="AK19" s="366"/>
      <c r="AL19" s="366"/>
      <c r="AM19" s="366"/>
      <c r="AN19" s="366"/>
      <c r="AO19" s="366"/>
      <c r="AP19" s="366"/>
      <c r="AQ19" s="366"/>
      <c r="AR19" s="366"/>
      <c r="AS19" s="366"/>
      <c r="AT19" s="366"/>
    </row>
    <row r="20" spans="2:46" ht="15.75" thickBot="1" x14ac:dyDescent="0.3">
      <c r="B20" s="42"/>
      <c r="C20" s="42" t="s">
        <v>145</v>
      </c>
      <c r="D20" s="366"/>
      <c r="E20" s="366"/>
      <c r="F20" s="366"/>
      <c r="G20" s="366"/>
      <c r="H20" s="366"/>
      <c r="I20" s="366"/>
      <c r="J20" s="366"/>
      <c r="K20" s="366"/>
      <c r="L20" s="366"/>
      <c r="M20" s="366"/>
      <c r="N20" s="364"/>
      <c r="O20" s="366"/>
      <c r="P20" s="366"/>
      <c r="Q20" s="366"/>
      <c r="R20" s="366"/>
      <c r="S20" s="366"/>
      <c r="T20" s="366"/>
      <c r="U20" s="366"/>
      <c r="V20" s="366"/>
      <c r="W20" s="366"/>
      <c r="X20" s="366"/>
      <c r="Y20" s="364"/>
      <c r="Z20" s="366"/>
      <c r="AA20" s="366"/>
      <c r="AB20" s="366"/>
      <c r="AC20" s="366"/>
      <c r="AD20" s="366"/>
      <c r="AE20" s="366"/>
      <c r="AF20" s="366"/>
      <c r="AG20" s="366"/>
      <c r="AH20" s="366"/>
      <c r="AI20" s="366"/>
      <c r="AJ20" s="364"/>
      <c r="AK20" s="366"/>
      <c r="AL20" s="366"/>
      <c r="AM20" s="366"/>
      <c r="AN20" s="366"/>
      <c r="AO20" s="366"/>
      <c r="AP20" s="366"/>
      <c r="AQ20" s="366"/>
      <c r="AR20" s="366"/>
      <c r="AS20" s="366"/>
      <c r="AT20" s="366"/>
    </row>
    <row r="21" spans="2:46" ht="16.5" thickTop="1" thickBot="1" x14ac:dyDescent="0.3">
      <c r="B21" s="42"/>
      <c r="C21" s="104" t="s">
        <v>9</v>
      </c>
      <c r="D21" s="374">
        <f>IF(D$15&lt;&gt;"[leeg]",IF('Loonkosten uitgebreid'!$AF$36/'Loonkosten uitgebreid'!$H$25&lt;'Tabellen PO-Raad'!$E9,0,(+'Loonkosten uitgebreid'!$AF$36-'Tabellen PO-Raad'!$E9*'Loonkosten uitgebreid'!H25)/12*'Tabellen PO-Raad'!$D9),0)</f>
        <v>345.79483199999999</v>
      </c>
      <c r="E21" s="374">
        <f>IF(E$15&lt;&gt;"[leeg]",IF('Loonkosten uitgebreid'!$AF$36/'Loonkosten uitgebreid'!$H$25&lt;'Tabellen PO-Raad'!$E9,0,(+'Loonkosten uitgebreid'!$AF$36-'Tabellen PO-Raad'!$E9*'Loonkosten uitgebreid'!I25)/12*'Tabellen PO-Raad'!$D9),0)</f>
        <v>345.79483199999999</v>
      </c>
      <c r="F21" s="374">
        <f>IF(F$15&lt;&gt;"[leeg]",IF('Loonkosten uitgebreid'!$AF$36/'Loonkosten uitgebreid'!$H$25&lt;'Tabellen PO-Raad'!$E9,0,(+'Loonkosten uitgebreid'!$AF$36-'Tabellen PO-Raad'!$E9*'Loonkosten uitgebreid'!J25)/12*'Tabellen PO-Raad'!$D9),0)</f>
        <v>345.79483199999999</v>
      </c>
      <c r="G21" s="374">
        <f>IF(G$15&lt;&gt;"[leeg]",IF('Loonkosten uitgebreid'!$AF$36/'Loonkosten uitgebreid'!$H$25&lt;'Tabellen PO-Raad'!$E9,0,(+'Loonkosten uitgebreid'!$AF$36-'Tabellen PO-Raad'!$E9*'Loonkosten uitgebreid'!K25)/12*'Tabellen PO-Raad'!$D9),0)</f>
        <v>0</v>
      </c>
      <c r="H21" s="374">
        <f>IF(H$15&lt;&gt;"[leeg]",IF('Loonkosten uitgebreid'!$AF$36/'Loonkosten uitgebreid'!$H$25&lt;'Tabellen PO-Raad'!$E9,0,(+'Loonkosten uitgebreid'!$AF$36-'Tabellen PO-Raad'!$E9*'Loonkosten uitgebreid'!L25)/12*'Tabellen PO-Raad'!$D9),0)</f>
        <v>0</v>
      </c>
      <c r="I21" s="374">
        <f>IF(I$15&lt;&gt;"[leeg]",IF('Loonkosten uitgebreid'!$AF$36/'Loonkosten uitgebreid'!$H$25&lt;'Tabellen PO-Raad'!$E9,0,(+'Loonkosten uitgebreid'!$AF$36-'Tabellen PO-Raad'!$E9*'Loonkosten uitgebreid'!M25)/12*'Tabellen PO-Raad'!$D9),0)</f>
        <v>0</v>
      </c>
      <c r="J21" s="374">
        <f>IF(J$15&lt;&gt;"[leeg]",IF('Loonkosten uitgebreid'!$AF$36/'Loonkosten uitgebreid'!$H$25&lt;'Tabellen PO-Raad'!$E9,0,(+'Loonkosten uitgebreid'!$AF$36-'Tabellen PO-Raad'!$E9*'Loonkosten uitgebreid'!N25)/12*'Tabellen PO-Raad'!$D9),0)</f>
        <v>0</v>
      </c>
      <c r="K21" s="374">
        <f>IF(K$15&lt;&gt;"[leeg]",IF('Loonkosten uitgebreid'!$AF$36/'Loonkosten uitgebreid'!$H$25&lt;'Tabellen PO-Raad'!$E9,0,(+'Loonkosten uitgebreid'!$AF$36-'Tabellen PO-Raad'!$E9*'Loonkosten uitgebreid'!O25)/12*'Tabellen PO-Raad'!$D9),0)</f>
        <v>0</v>
      </c>
      <c r="L21" s="374">
        <f>IF(L$15&lt;&gt;"[leeg]",IF('Loonkosten uitgebreid'!$AF$36/'Loonkosten uitgebreid'!$H$25&lt;'Tabellen PO-Raad'!$E9,0,(+'Loonkosten uitgebreid'!$AF$36-'Tabellen PO-Raad'!$E9*'Loonkosten uitgebreid'!P25)/12*'Tabellen PO-Raad'!$D9),0)</f>
        <v>0</v>
      </c>
      <c r="M21" s="374">
        <f>IF(M$15&lt;&gt;"[leeg]",IF('Loonkosten uitgebreid'!$AF$36/'Loonkosten uitgebreid'!$H$25&lt;'Tabellen PO-Raad'!$E9,0,(+'Loonkosten uitgebreid'!$AF$36-'Tabellen PO-Raad'!$E9*'Loonkosten uitgebreid'!Q25)/12*'Tabellen PO-Raad'!$D9),0)</f>
        <v>0</v>
      </c>
      <c r="N21" s="364"/>
      <c r="O21" s="374">
        <f>D21</f>
        <v>345.79483199999999</v>
      </c>
      <c r="P21" s="374">
        <f t="shared" ref="P21:X23" si="3">E21</f>
        <v>345.79483199999999</v>
      </c>
      <c r="Q21" s="374">
        <f t="shared" si="3"/>
        <v>345.79483199999999</v>
      </c>
      <c r="R21" s="374">
        <f t="shared" si="3"/>
        <v>0</v>
      </c>
      <c r="S21" s="374">
        <f t="shared" si="3"/>
        <v>0</v>
      </c>
      <c r="T21" s="374">
        <f t="shared" si="3"/>
        <v>0</v>
      </c>
      <c r="U21" s="374">
        <f t="shared" si="3"/>
        <v>0</v>
      </c>
      <c r="V21" s="374">
        <f t="shared" si="3"/>
        <v>0</v>
      </c>
      <c r="W21" s="374">
        <f t="shared" si="3"/>
        <v>0</v>
      </c>
      <c r="X21" s="374">
        <f t="shared" si="3"/>
        <v>0</v>
      </c>
      <c r="Y21" s="364"/>
      <c r="Z21" s="374">
        <f t="shared" ref="Z21:AI23" si="4">D21*12</f>
        <v>4149.5379839999996</v>
      </c>
      <c r="AA21" s="374">
        <f t="shared" si="4"/>
        <v>4149.5379839999996</v>
      </c>
      <c r="AB21" s="374">
        <f t="shared" si="4"/>
        <v>4149.5379839999996</v>
      </c>
      <c r="AC21" s="374">
        <f t="shared" si="4"/>
        <v>0</v>
      </c>
      <c r="AD21" s="374">
        <f t="shared" si="4"/>
        <v>0</v>
      </c>
      <c r="AE21" s="374">
        <f t="shared" si="4"/>
        <v>0</v>
      </c>
      <c r="AF21" s="374">
        <f t="shared" si="4"/>
        <v>0</v>
      </c>
      <c r="AG21" s="374">
        <f t="shared" si="4"/>
        <v>0</v>
      </c>
      <c r="AH21" s="374">
        <f t="shared" si="4"/>
        <v>0</v>
      </c>
      <c r="AI21" s="374">
        <f t="shared" si="4"/>
        <v>0</v>
      </c>
      <c r="AJ21" s="364"/>
      <c r="AK21" s="374">
        <f>O21*12</f>
        <v>4149.5379839999996</v>
      </c>
      <c r="AL21" s="374">
        <f t="shared" ref="AL21:AT23" si="5">P21*12</f>
        <v>4149.5379839999996</v>
      </c>
      <c r="AM21" s="374">
        <f t="shared" si="5"/>
        <v>4149.5379839999996</v>
      </c>
      <c r="AN21" s="374">
        <f t="shared" si="5"/>
        <v>0</v>
      </c>
      <c r="AO21" s="374">
        <f t="shared" si="5"/>
        <v>0</v>
      </c>
      <c r="AP21" s="374">
        <f t="shared" si="5"/>
        <v>0</v>
      </c>
      <c r="AQ21" s="374">
        <f t="shared" si="5"/>
        <v>0</v>
      </c>
      <c r="AR21" s="374">
        <f t="shared" si="5"/>
        <v>0</v>
      </c>
      <c r="AS21" s="374">
        <f t="shared" si="5"/>
        <v>0</v>
      </c>
      <c r="AT21" s="374">
        <f t="shared" si="5"/>
        <v>0</v>
      </c>
    </row>
    <row r="22" spans="2:46" ht="16.5" thickTop="1" thickBot="1" x14ac:dyDescent="0.3">
      <c r="B22" s="367"/>
      <c r="C22" s="104" t="s">
        <v>36</v>
      </c>
      <c r="D22" s="374">
        <f>IF(D$15&lt;&gt;"[leeg]",IF('Loonkosten uitgebreid'!$AF$36/'Loonkosten uitgebreid'!$H$25&lt;'Tabellen PO-Raad'!$E10,0,(+'Loonkosten uitgebreid'!$AF$36-'Tabellen PO-Raad'!$E10*'Loonkosten uitgebreid'!$H$25)/12*'Tabellen PO-Raad'!$D10),0)</f>
        <v>8.1752639999999968</v>
      </c>
      <c r="E22" s="374">
        <f>IF(E$15&lt;&gt;"[leeg]",IF('Loonkosten uitgebreid'!$AF$36/'Loonkosten uitgebreid'!$H$25&lt;'Tabellen PO-Raad'!$E10,0,(+'Loonkosten uitgebreid'!$AF$36-'Tabellen PO-Raad'!$E10*'Loonkosten uitgebreid'!$H$25)/12*'Tabellen PO-Raad'!$D10),0)</f>
        <v>8.1752639999999968</v>
      </c>
      <c r="F22" s="374">
        <f>IF(F$15&lt;&gt;"[leeg]",IF('Loonkosten uitgebreid'!$AF$36/'Loonkosten uitgebreid'!$H$25&lt;'Tabellen PO-Raad'!$E10,0,(+'Loonkosten uitgebreid'!$AF$36-'Tabellen PO-Raad'!$E10*'Loonkosten uitgebreid'!$H$25)/12*'Tabellen PO-Raad'!$D10),0)</f>
        <v>8.1752639999999968</v>
      </c>
      <c r="G22" s="374">
        <f>IF(G$15&lt;&gt;"[leeg]",IF('Loonkosten uitgebreid'!$AF$36/'Loonkosten uitgebreid'!$H$25&lt;'Tabellen PO-Raad'!$E10,0,(+'Loonkosten uitgebreid'!$AF$36-'Tabellen PO-Raad'!$E10*'Loonkosten uitgebreid'!$H$25)/12*'Tabellen PO-Raad'!$D10),0)</f>
        <v>0</v>
      </c>
      <c r="H22" s="374">
        <f>IF(H$15&lt;&gt;"[leeg]",IF('Loonkosten uitgebreid'!$AF$36/'Loonkosten uitgebreid'!$H$25&lt;'Tabellen PO-Raad'!$E10,0,(+'Loonkosten uitgebreid'!$AF$36-'Tabellen PO-Raad'!$E10*'Loonkosten uitgebreid'!$H$25)/12*'Tabellen PO-Raad'!$D10),0)</f>
        <v>0</v>
      </c>
      <c r="I22" s="374">
        <f>IF(I$15&lt;&gt;"[leeg]",IF('Loonkosten uitgebreid'!$AF$36/'Loonkosten uitgebreid'!$H$25&lt;'Tabellen PO-Raad'!$E10,0,(+'Loonkosten uitgebreid'!$AF$36-'Tabellen PO-Raad'!$E10*'Loonkosten uitgebreid'!$H$25)/12*'Tabellen PO-Raad'!$D10),0)</f>
        <v>0</v>
      </c>
      <c r="J22" s="374">
        <f>IF(J$15&lt;&gt;"[leeg]",IF('Loonkosten uitgebreid'!$AF$36/'Loonkosten uitgebreid'!$H$25&lt;'Tabellen PO-Raad'!$E10,0,(+'Loonkosten uitgebreid'!$AF$36-'Tabellen PO-Raad'!$E10*'Loonkosten uitgebreid'!$H$25)/12*'Tabellen PO-Raad'!$D10),0)</f>
        <v>0</v>
      </c>
      <c r="K22" s="374">
        <f>IF(K$15&lt;&gt;"[leeg]",IF('Loonkosten uitgebreid'!$AF$36/'Loonkosten uitgebreid'!$H$25&lt;'Tabellen PO-Raad'!$E10,0,(+'Loonkosten uitgebreid'!$AF$36-'Tabellen PO-Raad'!$E10*'Loonkosten uitgebreid'!$H$25)/12*'Tabellen PO-Raad'!$D10),0)</f>
        <v>0</v>
      </c>
      <c r="L22" s="374">
        <f>IF(L$15&lt;&gt;"[leeg]",IF('Loonkosten uitgebreid'!$AF$36/'Loonkosten uitgebreid'!$H$25&lt;'Tabellen PO-Raad'!$E10,0,(+'Loonkosten uitgebreid'!$AF$36-'Tabellen PO-Raad'!$E10*'Loonkosten uitgebreid'!$H$25)/12*'Tabellen PO-Raad'!$D10),0)</f>
        <v>0</v>
      </c>
      <c r="M22" s="374">
        <f>IF(M$15&lt;&gt;"[leeg]",IF('Loonkosten uitgebreid'!$AF$36/'Loonkosten uitgebreid'!$H$25&lt;'Tabellen PO-Raad'!$E10,0,(+'Loonkosten uitgebreid'!$AF$36-'Tabellen PO-Raad'!$E10*'Loonkosten uitgebreid'!$H$25)/12*'Tabellen PO-Raad'!$D10),0)</f>
        <v>0</v>
      </c>
      <c r="N22" s="364"/>
      <c r="O22" s="374">
        <f t="shared" ref="O22:O23" si="6">D22</f>
        <v>8.1752639999999968</v>
      </c>
      <c r="P22" s="374">
        <f t="shared" si="3"/>
        <v>8.1752639999999968</v>
      </c>
      <c r="Q22" s="374">
        <f t="shared" si="3"/>
        <v>8.1752639999999968</v>
      </c>
      <c r="R22" s="374">
        <f t="shared" si="3"/>
        <v>0</v>
      </c>
      <c r="S22" s="374">
        <f t="shared" si="3"/>
        <v>0</v>
      </c>
      <c r="T22" s="374">
        <f t="shared" si="3"/>
        <v>0</v>
      </c>
      <c r="U22" s="374">
        <f t="shared" si="3"/>
        <v>0</v>
      </c>
      <c r="V22" s="374">
        <f t="shared" si="3"/>
        <v>0</v>
      </c>
      <c r="W22" s="374">
        <f t="shared" si="3"/>
        <v>0</v>
      </c>
      <c r="X22" s="374">
        <f t="shared" si="3"/>
        <v>0</v>
      </c>
      <c r="Y22" s="364"/>
      <c r="Z22" s="374">
        <f t="shared" si="4"/>
        <v>98.103167999999954</v>
      </c>
      <c r="AA22" s="374">
        <f t="shared" si="4"/>
        <v>98.103167999999954</v>
      </c>
      <c r="AB22" s="374">
        <f t="shared" si="4"/>
        <v>98.103167999999954</v>
      </c>
      <c r="AC22" s="374">
        <f t="shared" si="4"/>
        <v>0</v>
      </c>
      <c r="AD22" s="374">
        <f t="shared" si="4"/>
        <v>0</v>
      </c>
      <c r="AE22" s="374">
        <f t="shared" si="4"/>
        <v>0</v>
      </c>
      <c r="AF22" s="374">
        <f t="shared" si="4"/>
        <v>0</v>
      </c>
      <c r="AG22" s="374">
        <f t="shared" si="4"/>
        <v>0</v>
      </c>
      <c r="AH22" s="374">
        <f t="shared" si="4"/>
        <v>0</v>
      </c>
      <c r="AI22" s="374">
        <f t="shared" si="4"/>
        <v>0</v>
      </c>
      <c r="AJ22" s="364"/>
      <c r="AK22" s="374">
        <f>O22*12</f>
        <v>98.103167999999954</v>
      </c>
      <c r="AL22" s="374">
        <f t="shared" si="5"/>
        <v>98.103167999999954</v>
      </c>
      <c r="AM22" s="374">
        <f t="shared" si="5"/>
        <v>98.103167999999954</v>
      </c>
      <c r="AN22" s="374">
        <f t="shared" si="5"/>
        <v>0</v>
      </c>
      <c r="AO22" s="374">
        <f t="shared" si="5"/>
        <v>0</v>
      </c>
      <c r="AP22" s="374">
        <f t="shared" si="5"/>
        <v>0</v>
      </c>
      <c r="AQ22" s="374">
        <f t="shared" si="5"/>
        <v>0</v>
      </c>
      <c r="AR22" s="374">
        <f t="shared" si="5"/>
        <v>0</v>
      </c>
      <c r="AS22" s="374">
        <f t="shared" si="5"/>
        <v>0</v>
      </c>
      <c r="AT22" s="374">
        <f t="shared" si="5"/>
        <v>0</v>
      </c>
    </row>
    <row r="23" spans="2:46" ht="16.5" thickTop="1" thickBot="1" x14ac:dyDescent="0.3">
      <c r="B23" s="367"/>
      <c r="C23" s="104" t="s">
        <v>45</v>
      </c>
      <c r="D23" s="374">
        <f>IF(D$15&lt;&gt;"[leeg]",'Loonkosten uitgebreid'!$AF$36/12*'Tabellen PO-Raad'!$D11,0)</f>
        <v>0</v>
      </c>
      <c r="E23" s="374">
        <f>IF(E$15&lt;&gt;"[leeg]",'Loonkosten uitgebreid'!$AF$36/12*'Tabellen PO-Raad'!$D11,0)</f>
        <v>0</v>
      </c>
      <c r="F23" s="374">
        <f>IF(F$15&lt;&gt;"[leeg]",'Loonkosten uitgebreid'!$AF$36/12*'Tabellen PO-Raad'!$D11,0)</f>
        <v>0</v>
      </c>
      <c r="G23" s="374">
        <f>IF(G$15&lt;&gt;"[leeg]",'Loonkosten uitgebreid'!$AF$36/12*'Tabellen PO-Raad'!$D11,0)</f>
        <v>0</v>
      </c>
      <c r="H23" s="374">
        <f>IF(H$15&lt;&gt;"[leeg]",'Loonkosten uitgebreid'!$AF$36/12*'Tabellen PO-Raad'!$D11,0)</f>
        <v>0</v>
      </c>
      <c r="I23" s="374">
        <f>IF(I$15&lt;&gt;"[leeg]",'Loonkosten uitgebreid'!$AF$36/12*'Tabellen PO-Raad'!$D11,0)</f>
        <v>0</v>
      </c>
      <c r="J23" s="374">
        <f>IF(J$15&lt;&gt;"[leeg]",'Loonkosten uitgebreid'!$AF$36/12*'Tabellen PO-Raad'!$D11,0)</f>
        <v>0</v>
      </c>
      <c r="K23" s="374">
        <f>IF(K$15&lt;&gt;"[leeg]",'Loonkosten uitgebreid'!$AF$36/12*'Tabellen PO-Raad'!$D11,0)</f>
        <v>0</v>
      </c>
      <c r="L23" s="374">
        <f>IF(L$15&lt;&gt;"[leeg]",'Loonkosten uitgebreid'!$AF$36/12*'Tabellen PO-Raad'!$D11,0)</f>
        <v>0</v>
      </c>
      <c r="M23" s="374">
        <f>IF(M$15&lt;&gt;"[leeg]",'Loonkosten uitgebreid'!$AF$36/12*'Tabellen PO-Raad'!$D11,0)</f>
        <v>0</v>
      </c>
      <c r="N23" s="364"/>
      <c r="O23" s="374">
        <f t="shared" si="6"/>
        <v>0</v>
      </c>
      <c r="P23" s="374">
        <f t="shared" si="3"/>
        <v>0</v>
      </c>
      <c r="Q23" s="374">
        <f t="shared" si="3"/>
        <v>0</v>
      </c>
      <c r="R23" s="374">
        <f t="shared" si="3"/>
        <v>0</v>
      </c>
      <c r="S23" s="374">
        <f t="shared" si="3"/>
        <v>0</v>
      </c>
      <c r="T23" s="374">
        <f t="shared" si="3"/>
        <v>0</v>
      </c>
      <c r="U23" s="374">
        <f t="shared" si="3"/>
        <v>0</v>
      </c>
      <c r="V23" s="374">
        <f t="shared" si="3"/>
        <v>0</v>
      </c>
      <c r="W23" s="374">
        <f t="shared" si="3"/>
        <v>0</v>
      </c>
      <c r="X23" s="374">
        <f t="shared" ref="X23" si="7">M23</f>
        <v>0</v>
      </c>
      <c r="Y23" s="364"/>
      <c r="Z23" s="374">
        <f t="shared" si="4"/>
        <v>0</v>
      </c>
      <c r="AA23" s="374">
        <f t="shared" si="4"/>
        <v>0</v>
      </c>
      <c r="AB23" s="374">
        <f t="shared" si="4"/>
        <v>0</v>
      </c>
      <c r="AC23" s="374">
        <f t="shared" si="4"/>
        <v>0</v>
      </c>
      <c r="AD23" s="374">
        <f t="shared" si="4"/>
        <v>0</v>
      </c>
      <c r="AE23" s="374">
        <f t="shared" si="4"/>
        <v>0</v>
      </c>
      <c r="AF23" s="374">
        <f t="shared" si="4"/>
        <v>0</v>
      </c>
      <c r="AG23" s="374">
        <f t="shared" si="4"/>
        <v>0</v>
      </c>
      <c r="AH23" s="374">
        <f t="shared" si="4"/>
        <v>0</v>
      </c>
      <c r="AI23" s="374">
        <f t="shared" si="4"/>
        <v>0</v>
      </c>
      <c r="AJ23" s="364"/>
      <c r="AK23" s="374">
        <f>O23*12</f>
        <v>0</v>
      </c>
      <c r="AL23" s="374">
        <f t="shared" si="5"/>
        <v>0</v>
      </c>
      <c r="AM23" s="374">
        <f t="shared" si="5"/>
        <v>0</v>
      </c>
      <c r="AN23" s="374">
        <f t="shared" si="5"/>
        <v>0</v>
      </c>
      <c r="AO23" s="374">
        <f t="shared" si="5"/>
        <v>0</v>
      </c>
      <c r="AP23" s="374">
        <f t="shared" si="5"/>
        <v>0</v>
      </c>
      <c r="AQ23" s="374">
        <f t="shared" si="5"/>
        <v>0</v>
      </c>
      <c r="AR23" s="374">
        <f t="shared" si="5"/>
        <v>0</v>
      </c>
      <c r="AS23" s="374">
        <f t="shared" si="5"/>
        <v>0</v>
      </c>
      <c r="AT23" s="374">
        <f t="shared" si="5"/>
        <v>0</v>
      </c>
    </row>
    <row r="24" spans="2:46" s="369" customFormat="1" ht="16.5" collapsed="1" thickTop="1" thickBot="1" x14ac:dyDescent="0.3">
      <c r="B24" s="367"/>
      <c r="C24" s="365" t="s">
        <v>64</v>
      </c>
      <c r="D24" s="375">
        <f>SUM(D21:D23)</f>
        <v>353.97009599999996</v>
      </c>
      <c r="E24" s="375">
        <f t="shared" ref="E24:M24" si="8">SUM(E21:E23)</f>
        <v>353.97009599999996</v>
      </c>
      <c r="F24" s="375">
        <f t="shared" si="8"/>
        <v>353.97009599999996</v>
      </c>
      <c r="G24" s="375">
        <f t="shared" si="8"/>
        <v>0</v>
      </c>
      <c r="H24" s="375">
        <f t="shared" si="8"/>
        <v>0</v>
      </c>
      <c r="I24" s="375">
        <f t="shared" si="8"/>
        <v>0</v>
      </c>
      <c r="J24" s="375">
        <f t="shared" si="8"/>
        <v>0</v>
      </c>
      <c r="K24" s="375">
        <f t="shared" si="8"/>
        <v>0</v>
      </c>
      <c r="L24" s="375">
        <f t="shared" si="8"/>
        <v>0</v>
      </c>
      <c r="M24" s="375">
        <f t="shared" si="8"/>
        <v>0</v>
      </c>
      <c r="N24" s="368"/>
      <c r="O24" s="375">
        <f>SUM(O21:O23)</f>
        <v>353.97009599999996</v>
      </c>
      <c r="P24" s="375">
        <f t="shared" ref="P24:X24" si="9">SUM(P21:P23)</f>
        <v>353.97009599999996</v>
      </c>
      <c r="Q24" s="375">
        <f t="shared" si="9"/>
        <v>353.97009599999996</v>
      </c>
      <c r="R24" s="375">
        <f t="shared" si="9"/>
        <v>0</v>
      </c>
      <c r="S24" s="375">
        <f t="shared" si="9"/>
        <v>0</v>
      </c>
      <c r="T24" s="375">
        <f t="shared" si="9"/>
        <v>0</v>
      </c>
      <c r="U24" s="375">
        <f t="shared" si="9"/>
        <v>0</v>
      </c>
      <c r="V24" s="375">
        <f t="shared" si="9"/>
        <v>0</v>
      </c>
      <c r="W24" s="375">
        <f t="shared" si="9"/>
        <v>0</v>
      </c>
      <c r="X24" s="375">
        <f t="shared" si="9"/>
        <v>0</v>
      </c>
      <c r="Y24" s="368"/>
      <c r="Z24" s="375">
        <f>SUM(Z21:Z23)</f>
        <v>4247.6411519999992</v>
      </c>
      <c r="AA24" s="375">
        <f t="shared" ref="AA24:AI24" si="10">SUM(AA21:AA23)</f>
        <v>4247.6411519999992</v>
      </c>
      <c r="AB24" s="375">
        <f t="shared" si="10"/>
        <v>4247.6411519999992</v>
      </c>
      <c r="AC24" s="375">
        <f t="shared" si="10"/>
        <v>0</v>
      </c>
      <c r="AD24" s="375">
        <f t="shared" si="10"/>
        <v>0</v>
      </c>
      <c r="AE24" s="375">
        <f t="shared" si="10"/>
        <v>0</v>
      </c>
      <c r="AF24" s="375">
        <f t="shared" si="10"/>
        <v>0</v>
      </c>
      <c r="AG24" s="375">
        <f t="shared" si="10"/>
        <v>0</v>
      </c>
      <c r="AH24" s="375">
        <f t="shared" si="10"/>
        <v>0</v>
      </c>
      <c r="AI24" s="375">
        <f t="shared" si="10"/>
        <v>0</v>
      </c>
      <c r="AJ24" s="368"/>
      <c r="AK24" s="375">
        <f t="shared" ref="AK24:AT24" si="11">SUM(AK21:AK23)</f>
        <v>4247.6411519999992</v>
      </c>
      <c r="AL24" s="375">
        <f t="shared" si="11"/>
        <v>4247.6411519999992</v>
      </c>
      <c r="AM24" s="375">
        <f t="shared" si="11"/>
        <v>4247.6411519999992</v>
      </c>
      <c r="AN24" s="375">
        <f t="shared" si="11"/>
        <v>0</v>
      </c>
      <c r="AO24" s="375">
        <f t="shared" si="11"/>
        <v>0</v>
      </c>
      <c r="AP24" s="375">
        <f t="shared" si="11"/>
        <v>0</v>
      </c>
      <c r="AQ24" s="375">
        <f t="shared" si="11"/>
        <v>0</v>
      </c>
      <c r="AR24" s="375">
        <f t="shared" si="11"/>
        <v>0</v>
      </c>
      <c r="AS24" s="375">
        <f t="shared" si="11"/>
        <v>0</v>
      </c>
      <c r="AT24" s="375">
        <f t="shared" si="11"/>
        <v>0</v>
      </c>
    </row>
    <row r="25" spans="2:46" ht="16.5" thickTop="1" thickBot="1" x14ac:dyDescent="0.3">
      <c r="B25" s="367"/>
      <c r="C25" s="104" t="s">
        <v>104</v>
      </c>
      <c r="D25" s="374">
        <f>IF(D$15&lt;&gt;"[leeg]",'Loonkosten uitgebreid'!H35,0)</f>
        <v>5493.86</v>
      </c>
      <c r="E25" s="374">
        <f>IF(E$15&lt;&gt;"[leeg]",'Loonkosten uitgebreid'!I35,0)</f>
        <v>5493.86</v>
      </c>
      <c r="F25" s="374">
        <f>IF(F$15&lt;&gt;"[leeg]",'Loonkosten uitgebreid'!J35,0)</f>
        <v>5493.86</v>
      </c>
      <c r="G25" s="374">
        <f>IF(G$15&lt;&gt;"[leeg]",'Loonkosten uitgebreid'!K35,0)</f>
        <v>0</v>
      </c>
      <c r="H25" s="374">
        <f>IF(H$15&lt;&gt;"[leeg]",'Loonkosten uitgebreid'!L35,0)</f>
        <v>0</v>
      </c>
      <c r="I25" s="374">
        <f>IF(I$15&lt;&gt;"[leeg]",'Loonkosten uitgebreid'!M35,0)</f>
        <v>0</v>
      </c>
      <c r="J25" s="374">
        <f>IF(J$15&lt;&gt;"[leeg]",'Loonkosten uitgebreid'!N35,0)</f>
        <v>0</v>
      </c>
      <c r="K25" s="374">
        <f>IF(K$15&lt;&gt;"[leeg]",'Loonkosten uitgebreid'!O35,0)</f>
        <v>0</v>
      </c>
      <c r="L25" s="374">
        <f>IF(L$15&lt;&gt;"[leeg]",'Loonkosten uitgebreid'!P35,0)</f>
        <v>0</v>
      </c>
      <c r="M25" s="374">
        <f>IF(M$15&lt;&gt;"[leeg]",'Loonkosten uitgebreid'!Q35,0)</f>
        <v>0</v>
      </c>
      <c r="N25" s="364"/>
      <c r="O25" s="374">
        <f>IF(O$15&lt;&gt;"[leeg]",'Loonkosten uitgebreid'!T35,0)</f>
        <v>5036.5599999999995</v>
      </c>
      <c r="P25" s="374">
        <f>IF(P$15&lt;&gt;"[leeg]",'Loonkosten uitgebreid'!U35,0)</f>
        <v>5036.5599999999995</v>
      </c>
      <c r="Q25" s="374">
        <f>IF(Q$15&lt;&gt;"[leeg]",'Loonkosten uitgebreid'!V35,0)</f>
        <v>5036.5599999999995</v>
      </c>
      <c r="R25" s="374">
        <f>IF(R$15&lt;&gt;"[leeg]",'Loonkosten uitgebreid'!W35,0)</f>
        <v>0</v>
      </c>
      <c r="S25" s="374">
        <f>IF(S$15&lt;&gt;"[leeg]",'Loonkosten uitgebreid'!X35,0)</f>
        <v>0</v>
      </c>
      <c r="T25" s="374">
        <f>IF(T$15&lt;&gt;"[leeg]",'Loonkosten uitgebreid'!Y35,0)</f>
        <v>0</v>
      </c>
      <c r="U25" s="374">
        <f>IF(U$15&lt;&gt;"[leeg]",'Loonkosten uitgebreid'!Z35,0)</f>
        <v>0</v>
      </c>
      <c r="V25" s="374">
        <f>IF(V$15&lt;&gt;"[leeg]",'Loonkosten uitgebreid'!AA35,0)</f>
        <v>0</v>
      </c>
      <c r="W25" s="374">
        <f>IF(W$15&lt;&gt;"[leeg]",'Loonkosten uitgebreid'!AB35,0)</f>
        <v>0</v>
      </c>
      <c r="X25" s="374">
        <f>IF(X$15&lt;&gt;"[leeg]",'Loonkosten uitgebreid'!AC35,0)</f>
        <v>0</v>
      </c>
      <c r="Y25" s="364"/>
      <c r="Z25" s="374">
        <f>IF(Z15&lt;&gt;"[leeg]",'Loonkosten uitgebreid'!AF35,0)</f>
        <v>65926.319999999992</v>
      </c>
      <c r="AA25" s="374">
        <f>IF(AA15&lt;&gt;"[leeg]",'Loonkosten uitgebreid'!AG35,0)</f>
        <v>65926.319999999992</v>
      </c>
      <c r="AB25" s="374">
        <f>IF(AB15&lt;&gt;"[leeg]",'Loonkosten uitgebreid'!AH35,0)</f>
        <v>65926.319999999992</v>
      </c>
      <c r="AC25" s="374">
        <f>IF(AC15&lt;&gt;"[leeg]",'Loonkosten uitgebreid'!AI35,0)</f>
        <v>0</v>
      </c>
      <c r="AD25" s="374">
        <f>IF(AD15&lt;&gt;"[leeg]",'Loonkosten uitgebreid'!AJ35,0)</f>
        <v>0</v>
      </c>
      <c r="AE25" s="374">
        <f>IF(AE15&lt;&gt;"[leeg]",'Loonkosten uitgebreid'!AK35,0)</f>
        <v>0</v>
      </c>
      <c r="AF25" s="374">
        <f>IF(AF15&lt;&gt;"[leeg]",'Loonkosten uitgebreid'!AL35,0)</f>
        <v>0</v>
      </c>
      <c r="AG25" s="374">
        <f>IF(AG15&lt;&gt;"[leeg]",'Loonkosten uitgebreid'!AM35,0)</f>
        <v>0</v>
      </c>
      <c r="AH25" s="374">
        <f>IF(AH15&lt;&gt;"[leeg]",'Loonkosten uitgebreid'!AN35,0)</f>
        <v>0</v>
      </c>
      <c r="AI25" s="374">
        <f>IF(AI15&lt;&gt;"[leeg]",'Loonkosten uitgebreid'!AO35,0)</f>
        <v>0</v>
      </c>
      <c r="AJ25" s="364"/>
      <c r="AK25" s="374">
        <f>IF(AK15&lt;&gt;"[leeg]",'Loonkosten uitgebreid'!AR35,0)</f>
        <v>60438.719999999994</v>
      </c>
      <c r="AL25" s="374">
        <f>IF(AL15&lt;&gt;"[leeg]",'Loonkosten uitgebreid'!AS35,0)</f>
        <v>60438.719999999994</v>
      </c>
      <c r="AM25" s="374">
        <f>IF(AM15&lt;&gt;"[leeg]",'Loonkosten uitgebreid'!AT35,0)</f>
        <v>60438.719999999994</v>
      </c>
      <c r="AN25" s="374">
        <f>IF(AN15&lt;&gt;"[leeg]",'Loonkosten uitgebreid'!AU35,0)</f>
        <v>0</v>
      </c>
      <c r="AO25" s="374">
        <f>IF(AO15&lt;&gt;"[leeg]",'Loonkosten uitgebreid'!AV35,0)</f>
        <v>0</v>
      </c>
      <c r="AP25" s="374">
        <f>IF(AP15&lt;&gt;"[leeg]",'Loonkosten uitgebreid'!AW35,0)</f>
        <v>0</v>
      </c>
      <c r="AQ25" s="374">
        <f>IF(AQ15&lt;&gt;"[leeg]",'Loonkosten uitgebreid'!AX35,0)</f>
        <v>0</v>
      </c>
      <c r="AR25" s="374">
        <f>IF(AR15&lt;&gt;"[leeg]",'Loonkosten uitgebreid'!AY35,0)</f>
        <v>0</v>
      </c>
      <c r="AS25" s="374">
        <f>IF(AS15&lt;&gt;"[leeg]",'Loonkosten uitgebreid'!AZ35,0)</f>
        <v>0</v>
      </c>
      <c r="AT25" s="374">
        <f>IF(AT15&lt;&gt;"[leeg]",'Loonkosten uitgebreid'!BA35,0)</f>
        <v>0</v>
      </c>
    </row>
    <row r="26" spans="2:46" ht="16.5" thickTop="1" thickBot="1" x14ac:dyDescent="0.3">
      <c r="B26" s="367"/>
      <c r="C26" s="104" t="s">
        <v>65</v>
      </c>
      <c r="D26" s="374">
        <f>D24</f>
        <v>353.97009599999996</v>
      </c>
      <c r="E26" s="374">
        <f t="shared" ref="E26:M26" si="12">E24</f>
        <v>353.97009599999996</v>
      </c>
      <c r="F26" s="374">
        <f t="shared" si="12"/>
        <v>353.97009599999996</v>
      </c>
      <c r="G26" s="374">
        <f t="shared" si="12"/>
        <v>0</v>
      </c>
      <c r="H26" s="374">
        <f t="shared" si="12"/>
        <v>0</v>
      </c>
      <c r="I26" s="374">
        <f t="shared" si="12"/>
        <v>0</v>
      </c>
      <c r="J26" s="374">
        <f t="shared" si="12"/>
        <v>0</v>
      </c>
      <c r="K26" s="374">
        <f t="shared" si="12"/>
        <v>0</v>
      </c>
      <c r="L26" s="374">
        <f t="shared" si="12"/>
        <v>0</v>
      </c>
      <c r="M26" s="374">
        <f t="shared" si="12"/>
        <v>0</v>
      </c>
      <c r="N26" s="364"/>
      <c r="O26" s="374">
        <f>O24</f>
        <v>353.97009599999996</v>
      </c>
      <c r="P26" s="374">
        <f t="shared" ref="P26:X26" si="13">P24</f>
        <v>353.97009599999996</v>
      </c>
      <c r="Q26" s="374">
        <f t="shared" si="13"/>
        <v>353.97009599999996</v>
      </c>
      <c r="R26" s="374">
        <f t="shared" si="13"/>
        <v>0</v>
      </c>
      <c r="S26" s="374">
        <f t="shared" si="13"/>
        <v>0</v>
      </c>
      <c r="T26" s="374">
        <f t="shared" si="13"/>
        <v>0</v>
      </c>
      <c r="U26" s="374">
        <f t="shared" si="13"/>
        <v>0</v>
      </c>
      <c r="V26" s="374">
        <f t="shared" si="13"/>
        <v>0</v>
      </c>
      <c r="W26" s="374">
        <f t="shared" si="13"/>
        <v>0</v>
      </c>
      <c r="X26" s="374">
        <f t="shared" si="13"/>
        <v>0</v>
      </c>
      <c r="Y26" s="364"/>
      <c r="Z26" s="374">
        <f>Z24</f>
        <v>4247.6411519999992</v>
      </c>
      <c r="AA26" s="374">
        <f t="shared" ref="AA26:AI26" si="14">AA24</f>
        <v>4247.6411519999992</v>
      </c>
      <c r="AB26" s="374">
        <f t="shared" si="14"/>
        <v>4247.6411519999992</v>
      </c>
      <c r="AC26" s="374">
        <f t="shared" si="14"/>
        <v>0</v>
      </c>
      <c r="AD26" s="374">
        <f t="shared" si="14"/>
        <v>0</v>
      </c>
      <c r="AE26" s="374">
        <f t="shared" si="14"/>
        <v>0</v>
      </c>
      <c r="AF26" s="374">
        <f t="shared" si="14"/>
        <v>0</v>
      </c>
      <c r="AG26" s="374">
        <f t="shared" si="14"/>
        <v>0</v>
      </c>
      <c r="AH26" s="374">
        <f t="shared" si="14"/>
        <v>0</v>
      </c>
      <c r="AI26" s="374">
        <f t="shared" si="14"/>
        <v>0</v>
      </c>
      <c r="AJ26" s="364"/>
      <c r="AK26" s="374">
        <f t="shared" ref="AK26:AT26" si="15">AK24</f>
        <v>4247.6411519999992</v>
      </c>
      <c r="AL26" s="374">
        <f t="shared" si="15"/>
        <v>4247.6411519999992</v>
      </c>
      <c r="AM26" s="374">
        <f t="shared" si="15"/>
        <v>4247.6411519999992</v>
      </c>
      <c r="AN26" s="374">
        <f t="shared" si="15"/>
        <v>0</v>
      </c>
      <c r="AO26" s="374">
        <f t="shared" si="15"/>
        <v>0</v>
      </c>
      <c r="AP26" s="374">
        <f t="shared" si="15"/>
        <v>0</v>
      </c>
      <c r="AQ26" s="374">
        <f t="shared" si="15"/>
        <v>0</v>
      </c>
      <c r="AR26" s="374">
        <f t="shared" si="15"/>
        <v>0</v>
      </c>
      <c r="AS26" s="374">
        <f t="shared" si="15"/>
        <v>0</v>
      </c>
      <c r="AT26" s="374">
        <f t="shared" si="15"/>
        <v>0</v>
      </c>
    </row>
    <row r="27" spans="2:46" ht="16.5" thickTop="1" thickBot="1" x14ac:dyDescent="0.3">
      <c r="B27" s="367"/>
      <c r="C27" s="42" t="s">
        <v>51</v>
      </c>
      <c r="D27" s="374">
        <f>D25-D26</f>
        <v>5139.8899039999997</v>
      </c>
      <c r="E27" s="374">
        <f t="shared" ref="E27:M27" si="16">E25-E26</f>
        <v>5139.8899039999997</v>
      </c>
      <c r="F27" s="374">
        <f t="shared" si="16"/>
        <v>5139.8899039999997</v>
      </c>
      <c r="G27" s="374">
        <f t="shared" si="16"/>
        <v>0</v>
      </c>
      <c r="H27" s="374">
        <f t="shared" si="16"/>
        <v>0</v>
      </c>
      <c r="I27" s="374">
        <f t="shared" si="16"/>
        <v>0</v>
      </c>
      <c r="J27" s="374">
        <f t="shared" si="16"/>
        <v>0</v>
      </c>
      <c r="K27" s="374">
        <f t="shared" si="16"/>
        <v>0</v>
      </c>
      <c r="L27" s="374">
        <f t="shared" si="16"/>
        <v>0</v>
      </c>
      <c r="M27" s="374">
        <f t="shared" si="16"/>
        <v>0</v>
      </c>
      <c r="N27" s="364"/>
      <c r="O27" s="374">
        <f>O25-O26</f>
        <v>4682.5899039999995</v>
      </c>
      <c r="P27" s="374">
        <f t="shared" ref="P27:X27" si="17">P25-P26</f>
        <v>4682.5899039999995</v>
      </c>
      <c r="Q27" s="374">
        <f t="shared" si="17"/>
        <v>4682.5899039999995</v>
      </c>
      <c r="R27" s="374">
        <f t="shared" si="17"/>
        <v>0</v>
      </c>
      <c r="S27" s="374">
        <f t="shared" si="17"/>
        <v>0</v>
      </c>
      <c r="T27" s="374">
        <f t="shared" si="17"/>
        <v>0</v>
      </c>
      <c r="U27" s="374">
        <f t="shared" si="17"/>
        <v>0</v>
      </c>
      <c r="V27" s="374">
        <f t="shared" si="17"/>
        <v>0</v>
      </c>
      <c r="W27" s="374">
        <f t="shared" si="17"/>
        <v>0</v>
      </c>
      <c r="X27" s="374">
        <f t="shared" si="17"/>
        <v>0</v>
      </c>
      <c r="Y27" s="364"/>
      <c r="Z27" s="374">
        <f>IF(Z15&lt;&gt;"[leeg]",'Loonkosten uitgebreid'!AF35-Z24,0)</f>
        <v>61678.678847999996</v>
      </c>
      <c r="AA27" s="374">
        <f>IF(AA15&lt;&gt;"[leeg]",'Loonkosten uitgebreid'!AG35-AA24,0)</f>
        <v>61678.678847999996</v>
      </c>
      <c r="AB27" s="374">
        <f>IF(AB15&lt;&gt;"[leeg]",'Loonkosten uitgebreid'!AH35-AB24,0)</f>
        <v>61678.678847999996</v>
      </c>
      <c r="AC27" s="374">
        <f>IF(AC15&lt;&gt;"[leeg]",'Loonkosten uitgebreid'!AI35-AC24,0)</f>
        <v>0</v>
      </c>
      <c r="AD27" s="374">
        <f>IF(AD15&lt;&gt;"[leeg]",'Loonkosten uitgebreid'!AJ35-AD24,0)</f>
        <v>0</v>
      </c>
      <c r="AE27" s="374">
        <f>IF(AE15&lt;&gt;"[leeg]",'Loonkosten uitgebreid'!AK35-AE24,0)</f>
        <v>0</v>
      </c>
      <c r="AF27" s="374">
        <f>IF(AF15&lt;&gt;"[leeg]",'Loonkosten uitgebreid'!AL35-AF24,0)</f>
        <v>0</v>
      </c>
      <c r="AG27" s="374">
        <f>IF(AG15&lt;&gt;"[leeg]",'Loonkosten uitgebreid'!AM35-AG24,0)</f>
        <v>0</v>
      </c>
      <c r="AH27" s="374">
        <f>IF(AH15&lt;&gt;"[leeg]",'Loonkosten uitgebreid'!AN35-AH24,0)</f>
        <v>0</v>
      </c>
      <c r="AI27" s="374">
        <f>IF(AI15&lt;&gt;"[leeg]",'Loonkosten uitgebreid'!AO35-AI24,0)</f>
        <v>0</v>
      </c>
      <c r="AJ27" s="364"/>
      <c r="AK27" s="378">
        <f>IF(AK15&lt;&gt;"[leeg]",'Loonkosten uitgebreid'!AR35-AK24,0)</f>
        <v>56191.078847999997</v>
      </c>
      <c r="AL27" s="378">
        <f>IF(AL15&lt;&gt;"[leeg]",'Loonkosten uitgebreid'!AS35-AL24,0)</f>
        <v>56191.078847999997</v>
      </c>
      <c r="AM27" s="378">
        <f>IF(AM15&lt;&gt;"[leeg]",'Loonkosten uitgebreid'!AT35-AM24,0)</f>
        <v>56191.078847999997</v>
      </c>
      <c r="AN27" s="378">
        <f>IF(AN15&lt;&gt;"[leeg]",'Loonkosten uitgebreid'!AU35-AN24,0)</f>
        <v>0</v>
      </c>
      <c r="AO27" s="378">
        <f>IF(AO15&lt;&gt;"[leeg]",'Loonkosten uitgebreid'!AV35-AO24,0)</f>
        <v>0</v>
      </c>
      <c r="AP27" s="378">
        <f>IF(AP15&lt;&gt;"[leeg]",'Loonkosten uitgebreid'!AW35-AP24,0)</f>
        <v>0</v>
      </c>
      <c r="AQ27" s="378">
        <f>IF(AQ15&lt;&gt;"[leeg]",'Loonkosten uitgebreid'!AX35-AQ24,0)</f>
        <v>0</v>
      </c>
      <c r="AR27" s="378">
        <f>IF(AR15&lt;&gt;"[leeg]",'Loonkosten uitgebreid'!AY35-AR24,0)</f>
        <v>0</v>
      </c>
      <c r="AS27" s="378">
        <f>IF(AS15&lt;&gt;"[leeg]",'Loonkosten uitgebreid'!AZ35-AS24,0)</f>
        <v>0</v>
      </c>
      <c r="AT27" s="378">
        <f>IF(AT15&lt;&gt;"[leeg]",'Loonkosten uitgebreid'!BA35-AT24,0)</f>
        <v>0</v>
      </c>
    </row>
    <row r="28" spans="2:46" ht="16.5" thickTop="1" thickBot="1" x14ac:dyDescent="0.3">
      <c r="B28" s="367"/>
      <c r="C28" s="104" t="s">
        <v>66</v>
      </c>
      <c r="D28" s="374">
        <f>D27</f>
        <v>5139.8899039999997</v>
      </c>
      <c r="E28" s="374">
        <f t="shared" ref="E28:M28" si="18">E27</f>
        <v>5139.8899039999997</v>
      </c>
      <c r="F28" s="374">
        <f t="shared" si="18"/>
        <v>5139.8899039999997</v>
      </c>
      <c r="G28" s="374">
        <f t="shared" si="18"/>
        <v>0</v>
      </c>
      <c r="H28" s="374">
        <f t="shared" si="18"/>
        <v>0</v>
      </c>
      <c r="I28" s="374">
        <f t="shared" si="18"/>
        <v>0</v>
      </c>
      <c r="J28" s="374">
        <f t="shared" si="18"/>
        <v>0</v>
      </c>
      <c r="K28" s="374">
        <f t="shared" si="18"/>
        <v>0</v>
      </c>
      <c r="L28" s="374">
        <f t="shared" si="18"/>
        <v>0</v>
      </c>
      <c r="M28" s="374">
        <f t="shared" si="18"/>
        <v>0</v>
      </c>
      <c r="N28" s="364"/>
      <c r="O28" s="374">
        <f>O27</f>
        <v>4682.5899039999995</v>
      </c>
      <c r="P28" s="374">
        <f t="shared" ref="P28:X28" si="19">P27</f>
        <v>4682.5899039999995</v>
      </c>
      <c r="Q28" s="374">
        <f t="shared" si="19"/>
        <v>4682.5899039999995</v>
      </c>
      <c r="R28" s="374">
        <f t="shared" si="19"/>
        <v>0</v>
      </c>
      <c r="S28" s="374">
        <f t="shared" si="19"/>
        <v>0</v>
      </c>
      <c r="T28" s="374">
        <f t="shared" si="19"/>
        <v>0</v>
      </c>
      <c r="U28" s="374">
        <f t="shared" si="19"/>
        <v>0</v>
      </c>
      <c r="V28" s="374">
        <f t="shared" si="19"/>
        <v>0</v>
      </c>
      <c r="W28" s="374">
        <f t="shared" si="19"/>
        <v>0</v>
      </c>
      <c r="X28" s="374">
        <f t="shared" si="19"/>
        <v>0</v>
      </c>
      <c r="Y28" s="364"/>
      <c r="Z28" s="374">
        <f>Z27</f>
        <v>61678.678847999996</v>
      </c>
      <c r="AA28" s="374">
        <f t="shared" ref="AA28:AI28" si="20">AA27</f>
        <v>61678.678847999996</v>
      </c>
      <c r="AB28" s="374">
        <f t="shared" si="20"/>
        <v>61678.678847999996</v>
      </c>
      <c r="AC28" s="374">
        <f t="shared" si="20"/>
        <v>0</v>
      </c>
      <c r="AD28" s="374">
        <f t="shared" si="20"/>
        <v>0</v>
      </c>
      <c r="AE28" s="374">
        <f t="shared" si="20"/>
        <v>0</v>
      </c>
      <c r="AF28" s="374">
        <f t="shared" si="20"/>
        <v>0</v>
      </c>
      <c r="AG28" s="374">
        <f t="shared" si="20"/>
        <v>0</v>
      </c>
      <c r="AH28" s="374">
        <f t="shared" si="20"/>
        <v>0</v>
      </c>
      <c r="AI28" s="374">
        <f t="shared" si="20"/>
        <v>0</v>
      </c>
      <c r="AJ28" s="364"/>
      <c r="AK28" s="374">
        <f t="shared" ref="AK28:AT28" si="21">AK27</f>
        <v>56191.078847999997</v>
      </c>
      <c r="AL28" s="374">
        <f t="shared" si="21"/>
        <v>56191.078847999997</v>
      </c>
      <c r="AM28" s="374">
        <f t="shared" si="21"/>
        <v>56191.078847999997</v>
      </c>
      <c r="AN28" s="374">
        <f t="shared" si="21"/>
        <v>0</v>
      </c>
      <c r="AO28" s="374">
        <f t="shared" si="21"/>
        <v>0</v>
      </c>
      <c r="AP28" s="374">
        <f t="shared" si="21"/>
        <v>0</v>
      </c>
      <c r="AQ28" s="374">
        <f t="shared" si="21"/>
        <v>0</v>
      </c>
      <c r="AR28" s="374">
        <f t="shared" si="21"/>
        <v>0</v>
      </c>
      <c r="AS28" s="374">
        <f t="shared" si="21"/>
        <v>0</v>
      </c>
      <c r="AT28" s="374">
        <f t="shared" si="21"/>
        <v>0</v>
      </c>
    </row>
    <row r="29" spans="2:46" ht="16.5" thickTop="1" thickBot="1" x14ac:dyDescent="0.3">
      <c r="B29" s="367"/>
      <c r="C29" s="104" t="s">
        <v>52</v>
      </c>
      <c r="D29" s="374">
        <f>IF(D$15&lt;&gt;"[leeg]",'Loonkosten uitgebreid'!H44,0)</f>
        <v>58.71</v>
      </c>
      <c r="E29" s="374">
        <f>IF(E$15&lt;&gt;"[leeg]",'Loonkosten uitgebreid'!I44,0)</f>
        <v>58.71</v>
      </c>
      <c r="F29" s="374">
        <f>IF(F$15&lt;&gt;"[leeg]",'Loonkosten uitgebreid'!J44,0)</f>
        <v>58.71</v>
      </c>
      <c r="G29" s="374">
        <f>IF(G$15&lt;&gt;"[leeg]",'Loonkosten uitgebreid'!K44,0)</f>
        <v>0</v>
      </c>
      <c r="H29" s="374">
        <f>IF(H$15&lt;&gt;"[leeg]",'Loonkosten uitgebreid'!L44,0)</f>
        <v>0</v>
      </c>
      <c r="I29" s="374">
        <f>IF(I$15&lt;&gt;"[leeg]",'Loonkosten uitgebreid'!M44,0)</f>
        <v>0</v>
      </c>
      <c r="J29" s="374">
        <f>IF(J$15&lt;&gt;"[leeg]",'Loonkosten uitgebreid'!N44,0)</f>
        <v>0</v>
      </c>
      <c r="K29" s="374">
        <f>IF(K$15&lt;&gt;"[leeg]",'Loonkosten uitgebreid'!O44,0)</f>
        <v>0</v>
      </c>
      <c r="L29" s="374">
        <f>IF(L$15&lt;&gt;"[leeg]",'Loonkosten uitgebreid'!P44,0)</f>
        <v>0</v>
      </c>
      <c r="M29" s="374">
        <f>IF(M$15&lt;&gt;"[leeg]",'Loonkosten uitgebreid'!Q44,0)</f>
        <v>0</v>
      </c>
      <c r="N29" s="364"/>
      <c r="O29" s="374">
        <f>IF(O$15&lt;&gt;"[leeg]",'Loonkosten uitgebreid'!T44,0)</f>
        <v>58.71</v>
      </c>
      <c r="P29" s="374">
        <f>IF(P$15&lt;&gt;"[leeg]",'Loonkosten uitgebreid'!U44,0)</f>
        <v>58.71</v>
      </c>
      <c r="Q29" s="374">
        <f>IF(Q$15&lt;&gt;"[leeg]",'Loonkosten uitgebreid'!V44,0)</f>
        <v>58.71</v>
      </c>
      <c r="R29" s="374">
        <f>IF(R$15&lt;&gt;"[leeg]",'Loonkosten uitgebreid'!W44,0)</f>
        <v>0</v>
      </c>
      <c r="S29" s="374">
        <f>IF(S$15&lt;&gt;"[leeg]",'Loonkosten uitgebreid'!X44,0)</f>
        <v>0</v>
      </c>
      <c r="T29" s="374">
        <f>IF(T$15&lt;&gt;"[leeg]",'Loonkosten uitgebreid'!Y44,0)</f>
        <v>0</v>
      </c>
      <c r="U29" s="374">
        <f>IF(U$15&lt;&gt;"[leeg]",'Loonkosten uitgebreid'!Z44,0)</f>
        <v>0</v>
      </c>
      <c r="V29" s="374">
        <f>IF(V$15&lt;&gt;"[leeg]",'Loonkosten uitgebreid'!AA44,0)</f>
        <v>0</v>
      </c>
      <c r="W29" s="374">
        <f>IF(W$15&lt;&gt;"[leeg]",'Loonkosten uitgebreid'!AB44,0)</f>
        <v>0</v>
      </c>
      <c r="X29" s="374">
        <f>IF(X$15&lt;&gt;"[leeg]",'Loonkosten uitgebreid'!AC44,0)</f>
        <v>0</v>
      </c>
      <c r="Y29" s="364"/>
      <c r="Z29" s="374">
        <f>IF(Z15&lt;&gt;"[leeg]",'Loonkosten uitgebreid'!AF44,0)</f>
        <v>704.52</v>
      </c>
      <c r="AA29" s="374">
        <f>IF(AA15&lt;&gt;"[leeg]",'Loonkosten uitgebreid'!AG44,0)</f>
        <v>704.52</v>
      </c>
      <c r="AB29" s="374">
        <f>IF(AB15&lt;&gt;"[leeg]",'Loonkosten uitgebreid'!AH44,0)</f>
        <v>704.52</v>
      </c>
      <c r="AC29" s="374">
        <f>IF(AC15&lt;&gt;"[leeg]",'Loonkosten uitgebreid'!AI44,0)</f>
        <v>0</v>
      </c>
      <c r="AD29" s="374">
        <f>IF(AD15&lt;&gt;"[leeg]",'Loonkosten uitgebreid'!AJ44,0)</f>
        <v>0</v>
      </c>
      <c r="AE29" s="374">
        <f>IF(AE15&lt;&gt;"[leeg]",'Loonkosten uitgebreid'!AK44,0)</f>
        <v>0</v>
      </c>
      <c r="AF29" s="374">
        <f>IF(AF15&lt;&gt;"[leeg]",'Loonkosten uitgebreid'!AL44,0)</f>
        <v>0</v>
      </c>
      <c r="AG29" s="374">
        <f>IF(AG15&lt;&gt;"[leeg]",'Loonkosten uitgebreid'!AM44,0)</f>
        <v>0</v>
      </c>
      <c r="AH29" s="374">
        <f>IF(AH15&lt;&gt;"[leeg]",'Loonkosten uitgebreid'!AN44,0)</f>
        <v>0</v>
      </c>
      <c r="AI29" s="374">
        <f>IF(AI15&lt;&gt;"[leeg]",'Loonkosten uitgebreid'!AO44,0)</f>
        <v>0</v>
      </c>
      <c r="AJ29" s="364"/>
      <c r="AK29" s="374">
        <f>IF(AK15&lt;&gt;"[leeg]",'Loonkosten uitgebreid'!AR44,0)</f>
        <v>704.52</v>
      </c>
      <c r="AL29" s="374">
        <f>IF(AL15&lt;&gt;"[leeg]",'Loonkosten uitgebreid'!AS44,0)</f>
        <v>704.52</v>
      </c>
      <c r="AM29" s="374">
        <f>IF(AM15&lt;&gt;"[leeg]",'Loonkosten uitgebreid'!AT44,0)</f>
        <v>704.52</v>
      </c>
      <c r="AN29" s="374">
        <f>IF(AN15&lt;&gt;"[leeg]",'Loonkosten uitgebreid'!AU44,0)</f>
        <v>0</v>
      </c>
      <c r="AO29" s="374">
        <f>IF(AO15&lt;&gt;"[leeg]",'Loonkosten uitgebreid'!AV44,0)</f>
        <v>0</v>
      </c>
      <c r="AP29" s="374">
        <f>IF(AP15&lt;&gt;"[leeg]",'Loonkosten uitgebreid'!AW44,0)</f>
        <v>0</v>
      </c>
      <c r="AQ29" s="374">
        <f>IF(AQ15&lt;&gt;"[leeg]",'Loonkosten uitgebreid'!AX44,0)</f>
        <v>0</v>
      </c>
      <c r="AR29" s="374">
        <f>IF(AR15&lt;&gt;"[leeg]",'Loonkosten uitgebreid'!AY44,0)</f>
        <v>0</v>
      </c>
      <c r="AS29" s="374">
        <f>IF(AS15&lt;&gt;"[leeg]",'Loonkosten uitgebreid'!AZ44,0)</f>
        <v>0</v>
      </c>
      <c r="AT29" s="374">
        <f>IF(AT15&lt;&gt;"[leeg]",'Loonkosten uitgebreid'!BA44,0)</f>
        <v>0</v>
      </c>
    </row>
    <row r="30" spans="2:46" ht="16.5" thickTop="1" thickBot="1" x14ac:dyDescent="0.3">
      <c r="B30" s="367"/>
      <c r="C30" s="42" t="s">
        <v>27</v>
      </c>
      <c r="D30" s="374">
        <f>SUM(D28:D29)</f>
        <v>5198.5999039999997</v>
      </c>
      <c r="E30" s="374">
        <f t="shared" ref="E30:M30" si="22">SUM(E28:E29)</f>
        <v>5198.5999039999997</v>
      </c>
      <c r="F30" s="374">
        <f t="shared" si="22"/>
        <v>5198.5999039999997</v>
      </c>
      <c r="G30" s="374">
        <f t="shared" si="22"/>
        <v>0</v>
      </c>
      <c r="H30" s="374">
        <f t="shared" si="22"/>
        <v>0</v>
      </c>
      <c r="I30" s="374">
        <f t="shared" si="22"/>
        <v>0</v>
      </c>
      <c r="J30" s="374">
        <f t="shared" si="22"/>
        <v>0</v>
      </c>
      <c r="K30" s="374">
        <f t="shared" si="22"/>
        <v>0</v>
      </c>
      <c r="L30" s="374">
        <f t="shared" si="22"/>
        <v>0</v>
      </c>
      <c r="M30" s="374">
        <f t="shared" si="22"/>
        <v>0</v>
      </c>
      <c r="N30" s="364"/>
      <c r="O30" s="374">
        <f>SUM(O28:O29)</f>
        <v>4741.2999039999995</v>
      </c>
      <c r="P30" s="374">
        <f t="shared" ref="P30:X30" si="23">SUM(P28:P29)</f>
        <v>4741.2999039999995</v>
      </c>
      <c r="Q30" s="374">
        <f t="shared" si="23"/>
        <v>4741.2999039999995</v>
      </c>
      <c r="R30" s="374">
        <f t="shared" si="23"/>
        <v>0</v>
      </c>
      <c r="S30" s="374">
        <f t="shared" si="23"/>
        <v>0</v>
      </c>
      <c r="T30" s="374">
        <f t="shared" si="23"/>
        <v>0</v>
      </c>
      <c r="U30" s="374">
        <f t="shared" si="23"/>
        <v>0</v>
      </c>
      <c r="V30" s="374">
        <f t="shared" si="23"/>
        <v>0</v>
      </c>
      <c r="W30" s="374">
        <f t="shared" si="23"/>
        <v>0</v>
      </c>
      <c r="X30" s="374">
        <f t="shared" si="23"/>
        <v>0</v>
      </c>
      <c r="Y30" s="364"/>
      <c r="Z30" s="374">
        <f>SUM(Z28:Z29)</f>
        <v>62383.198847999993</v>
      </c>
      <c r="AA30" s="374">
        <f t="shared" ref="AA30:AI30" si="24">SUM(AA28:AA29)</f>
        <v>62383.198847999993</v>
      </c>
      <c r="AB30" s="374">
        <f t="shared" si="24"/>
        <v>62383.198847999993</v>
      </c>
      <c r="AC30" s="374">
        <f t="shared" si="24"/>
        <v>0</v>
      </c>
      <c r="AD30" s="374">
        <f t="shared" si="24"/>
        <v>0</v>
      </c>
      <c r="AE30" s="374">
        <f t="shared" si="24"/>
        <v>0</v>
      </c>
      <c r="AF30" s="374">
        <f t="shared" si="24"/>
        <v>0</v>
      </c>
      <c r="AG30" s="374">
        <f t="shared" si="24"/>
        <v>0</v>
      </c>
      <c r="AH30" s="374">
        <f t="shared" si="24"/>
        <v>0</v>
      </c>
      <c r="AI30" s="374">
        <f t="shared" si="24"/>
        <v>0</v>
      </c>
      <c r="AJ30" s="364"/>
      <c r="AK30" s="378">
        <f t="shared" ref="AK30:AT30" si="25">SUM(AK28:AK29)</f>
        <v>56895.598847999994</v>
      </c>
      <c r="AL30" s="378">
        <f t="shared" si="25"/>
        <v>56895.598847999994</v>
      </c>
      <c r="AM30" s="378">
        <f t="shared" si="25"/>
        <v>56895.598847999994</v>
      </c>
      <c r="AN30" s="378">
        <f t="shared" si="25"/>
        <v>0</v>
      </c>
      <c r="AO30" s="378">
        <f t="shared" si="25"/>
        <v>0</v>
      </c>
      <c r="AP30" s="378">
        <f t="shared" si="25"/>
        <v>0</v>
      </c>
      <c r="AQ30" s="378">
        <f t="shared" si="25"/>
        <v>0</v>
      </c>
      <c r="AR30" s="378">
        <f t="shared" si="25"/>
        <v>0</v>
      </c>
      <c r="AS30" s="378">
        <f t="shared" si="25"/>
        <v>0</v>
      </c>
      <c r="AT30" s="378">
        <f t="shared" si="25"/>
        <v>0</v>
      </c>
    </row>
    <row r="31" spans="2:46" ht="16.5" thickTop="1" thickBot="1" x14ac:dyDescent="0.3">
      <c r="B31" s="104"/>
      <c r="C31" s="104" t="s">
        <v>116</v>
      </c>
      <c r="D31" s="374">
        <f>D30</f>
        <v>5198.5999039999997</v>
      </c>
      <c r="E31" s="374">
        <f t="shared" ref="E31:M31" si="26">E30</f>
        <v>5198.5999039999997</v>
      </c>
      <c r="F31" s="374">
        <f t="shared" si="26"/>
        <v>5198.5999039999997</v>
      </c>
      <c r="G31" s="374">
        <f t="shared" si="26"/>
        <v>0</v>
      </c>
      <c r="H31" s="374">
        <f t="shared" si="26"/>
        <v>0</v>
      </c>
      <c r="I31" s="374">
        <f t="shared" si="26"/>
        <v>0</v>
      </c>
      <c r="J31" s="374">
        <f t="shared" si="26"/>
        <v>0</v>
      </c>
      <c r="K31" s="374">
        <f t="shared" si="26"/>
        <v>0</v>
      </c>
      <c r="L31" s="374">
        <f t="shared" si="26"/>
        <v>0</v>
      </c>
      <c r="M31" s="374">
        <f t="shared" si="26"/>
        <v>0</v>
      </c>
      <c r="N31" s="364"/>
      <c r="O31" s="374">
        <f>O30</f>
        <v>4741.2999039999995</v>
      </c>
      <c r="P31" s="374">
        <f t="shared" ref="P31:X31" si="27">P30</f>
        <v>4741.2999039999995</v>
      </c>
      <c r="Q31" s="374">
        <f t="shared" si="27"/>
        <v>4741.2999039999995</v>
      </c>
      <c r="R31" s="374">
        <f t="shared" si="27"/>
        <v>0</v>
      </c>
      <c r="S31" s="374">
        <f t="shared" si="27"/>
        <v>0</v>
      </c>
      <c r="T31" s="374">
        <f t="shared" si="27"/>
        <v>0</v>
      </c>
      <c r="U31" s="374">
        <f t="shared" si="27"/>
        <v>0</v>
      </c>
      <c r="V31" s="374">
        <f t="shared" si="27"/>
        <v>0</v>
      </c>
      <c r="W31" s="374">
        <f t="shared" si="27"/>
        <v>0</v>
      </c>
      <c r="X31" s="374">
        <f t="shared" si="27"/>
        <v>0</v>
      </c>
      <c r="Y31" s="364"/>
      <c r="Z31" s="374">
        <f>Z30</f>
        <v>62383.198847999993</v>
      </c>
      <c r="AA31" s="374">
        <f t="shared" ref="AA31:AI31" si="28">AA30</f>
        <v>62383.198847999993</v>
      </c>
      <c r="AB31" s="374">
        <f t="shared" si="28"/>
        <v>62383.198847999993</v>
      </c>
      <c r="AC31" s="374">
        <f t="shared" si="28"/>
        <v>0</v>
      </c>
      <c r="AD31" s="374">
        <f t="shared" si="28"/>
        <v>0</v>
      </c>
      <c r="AE31" s="374">
        <f t="shared" si="28"/>
        <v>0</v>
      </c>
      <c r="AF31" s="374">
        <f t="shared" si="28"/>
        <v>0</v>
      </c>
      <c r="AG31" s="374">
        <f t="shared" si="28"/>
        <v>0</v>
      </c>
      <c r="AH31" s="374">
        <f t="shared" si="28"/>
        <v>0</v>
      </c>
      <c r="AI31" s="374">
        <f t="shared" si="28"/>
        <v>0</v>
      </c>
      <c r="AJ31" s="364"/>
      <c r="AK31" s="379">
        <f t="shared" ref="AK31:AT31" si="29">AK30</f>
        <v>56895.598847999994</v>
      </c>
      <c r="AL31" s="379">
        <f t="shared" si="29"/>
        <v>56895.598847999994</v>
      </c>
      <c r="AM31" s="379">
        <f t="shared" si="29"/>
        <v>56895.598847999994</v>
      </c>
      <c r="AN31" s="379">
        <f t="shared" si="29"/>
        <v>0</v>
      </c>
      <c r="AO31" s="379">
        <f t="shared" si="29"/>
        <v>0</v>
      </c>
      <c r="AP31" s="379">
        <f t="shared" si="29"/>
        <v>0</v>
      </c>
      <c r="AQ31" s="379">
        <f t="shared" si="29"/>
        <v>0</v>
      </c>
      <c r="AR31" s="379">
        <f t="shared" si="29"/>
        <v>0</v>
      </c>
      <c r="AS31" s="379">
        <f t="shared" si="29"/>
        <v>0</v>
      </c>
      <c r="AT31" s="379">
        <f t="shared" si="29"/>
        <v>0</v>
      </c>
    </row>
    <row r="32" spans="2:46" ht="16.5" thickTop="1" thickBot="1" x14ac:dyDescent="0.3">
      <c r="B32" s="104"/>
      <c r="C32" s="42" t="s">
        <v>115</v>
      </c>
      <c r="D32" s="374">
        <f t="shared" ref="D32:M32" si="30">IF(D15&lt;&gt;"[leeg]",Z32/12,0)</f>
        <v>1919.8429445472</v>
      </c>
      <c r="E32" s="374">
        <f t="shared" si="30"/>
        <v>1919.8429445472</v>
      </c>
      <c r="F32" s="374">
        <f t="shared" si="30"/>
        <v>1919.8429445472</v>
      </c>
      <c r="G32" s="374">
        <f t="shared" si="30"/>
        <v>0</v>
      </c>
      <c r="H32" s="374">
        <f t="shared" si="30"/>
        <v>0</v>
      </c>
      <c r="I32" s="374">
        <f t="shared" si="30"/>
        <v>0</v>
      </c>
      <c r="J32" s="374">
        <f t="shared" si="30"/>
        <v>0</v>
      </c>
      <c r="K32" s="374">
        <f t="shared" si="30"/>
        <v>0</v>
      </c>
      <c r="L32" s="374">
        <f t="shared" si="30"/>
        <v>0</v>
      </c>
      <c r="M32" s="374">
        <f t="shared" si="30"/>
        <v>0</v>
      </c>
      <c r="N32" s="364"/>
      <c r="O32" s="374">
        <f t="shared" ref="O32:X33" si="31">IF(O$15&lt;&gt;"[leeg]",AK32/12,0)</f>
        <v>1750.9620545471998</v>
      </c>
      <c r="P32" s="374">
        <f t="shared" si="31"/>
        <v>1750.9620545471998</v>
      </c>
      <c r="Q32" s="374">
        <f t="shared" si="31"/>
        <v>1750.9620545471998</v>
      </c>
      <c r="R32" s="374">
        <f t="shared" si="31"/>
        <v>0</v>
      </c>
      <c r="S32" s="374">
        <f t="shared" si="31"/>
        <v>0</v>
      </c>
      <c r="T32" s="374">
        <f t="shared" si="31"/>
        <v>0</v>
      </c>
      <c r="U32" s="374">
        <f t="shared" si="31"/>
        <v>0</v>
      </c>
      <c r="V32" s="374">
        <f t="shared" si="31"/>
        <v>0</v>
      </c>
      <c r="W32" s="374">
        <f t="shared" si="31"/>
        <v>0</v>
      </c>
      <c r="X32" s="374">
        <f t="shared" si="31"/>
        <v>0</v>
      </c>
      <c r="Y32" s="364"/>
      <c r="Z32" s="374">
        <f>IF(Z15&lt;&gt;"[leeg]",IF('Loonkosten uitgebreid'!$D$9&gt;='Tabellen Loonbelasting'!$B$5,VLOOKUP(Z30,'Tabellen Loonbelasting'!$B$7:$D$9,2,TRUE)*('Inkomensgevolgen uitgebreid'!Z30-VLOOKUP(Z30,'Tabellen Loonbelasting'!$B$7:$D$9,1,TRUE)),VLOOKUP(Z30,'Tabellen Loonbelasting'!$B$12:$D$15,2,TRUE)*('Inkomensgevolgen uitgebreid'!Z30-VLOOKUP(Z30,'Tabellen Loonbelasting'!$B$12:$D$15,1,TRUE))),0)</f>
        <v>23038.115334566399</v>
      </c>
      <c r="AA32" s="374">
        <f>IF(AA15&lt;&gt;"[leeg]",IF('Loonkosten uitgebreid'!$D$9&gt;='Tabellen Loonbelasting'!$B$5,VLOOKUP(AA30,'Tabellen Loonbelasting'!$B$7:$D$9,2,TRUE)*('Inkomensgevolgen uitgebreid'!AA30-VLOOKUP(AA30,'Tabellen Loonbelasting'!$B$7:$D$9,1,TRUE)),VLOOKUP(AA30,'Tabellen Loonbelasting'!$B$12:$D$15,2,TRUE)*('Inkomensgevolgen uitgebreid'!AA30-VLOOKUP(AA30,'Tabellen Loonbelasting'!$B$12:$D$15,1,TRUE))),0)</f>
        <v>23038.115334566399</v>
      </c>
      <c r="AB32" s="374">
        <f>IF(AB15&lt;&gt;"[leeg]",IF('Loonkosten uitgebreid'!$D$9&gt;='Tabellen Loonbelasting'!$B$5,VLOOKUP(AB30,'Tabellen Loonbelasting'!$B$7:$D$9,2,TRUE)*('Inkomensgevolgen uitgebreid'!AB30-VLOOKUP(AB30,'Tabellen Loonbelasting'!$B$7:$D$9,1,TRUE)),VLOOKUP(AB30,'Tabellen Loonbelasting'!$B$12:$D$15,2,TRUE)*('Inkomensgevolgen uitgebreid'!AB30-VLOOKUP(AB30,'Tabellen Loonbelasting'!$B$12:$D$15,1,TRUE))),0)</f>
        <v>23038.115334566399</v>
      </c>
      <c r="AC32" s="374">
        <f>IF(AC15&lt;&gt;"[leeg]",IF('Loonkosten uitgebreid'!$D$9&gt;='Tabellen Loonbelasting'!$B$5,VLOOKUP(AC30,'Tabellen Loonbelasting'!$B$7:$D$9,2,TRUE)*('Inkomensgevolgen uitgebreid'!AC30-VLOOKUP(AC30,'Tabellen Loonbelasting'!$B$7:$D$9,1,TRUE)),VLOOKUP(AC30,'Tabellen Loonbelasting'!$B$12:$D$15,2,TRUE)*('Inkomensgevolgen uitgebreid'!AC30-VLOOKUP(AC30,'Tabellen Loonbelasting'!$B$12:$D$15,1,TRUE))),0)</f>
        <v>0</v>
      </c>
      <c r="AD32" s="374">
        <f>IF(AD15&lt;&gt;"[leeg]",IF('Loonkosten uitgebreid'!$D$9&gt;='Tabellen Loonbelasting'!$B$5,VLOOKUP(AD30,'Tabellen Loonbelasting'!$B$7:$D$9,2,TRUE)*('Inkomensgevolgen uitgebreid'!AD30-VLOOKUP(AD30,'Tabellen Loonbelasting'!$B$7:$D$9,1,TRUE)),VLOOKUP(AD30,'Tabellen Loonbelasting'!$B$12:$D$15,2,TRUE)*('Inkomensgevolgen uitgebreid'!AD30-VLOOKUP(AD30,'Tabellen Loonbelasting'!$B$12:$D$15,1,TRUE))),0)</f>
        <v>0</v>
      </c>
      <c r="AE32" s="374">
        <f>IF(AE15&lt;&gt;"[leeg]",IF('Loonkosten uitgebreid'!$D$9&gt;='Tabellen Loonbelasting'!$B$5,VLOOKUP(AE30,'Tabellen Loonbelasting'!$B$7:$D$9,2,TRUE)*('Inkomensgevolgen uitgebreid'!AE30-VLOOKUP(AE30,'Tabellen Loonbelasting'!$B$7:$D$9,1,TRUE)),VLOOKUP(AE30,'Tabellen Loonbelasting'!$B$12:$D$15,2,TRUE)*('Inkomensgevolgen uitgebreid'!AE30-VLOOKUP(AE30,'Tabellen Loonbelasting'!$B$12:$D$15,1,TRUE))),0)</f>
        <v>0</v>
      </c>
      <c r="AF32" s="374">
        <f>IF(AF15&lt;&gt;"[leeg]",IF('Loonkosten uitgebreid'!$D$9&gt;='Tabellen Loonbelasting'!$B$5,VLOOKUP(AF30,'Tabellen Loonbelasting'!$B$7:$D$9,2,TRUE)*('Inkomensgevolgen uitgebreid'!AF30-VLOOKUP(AF30,'Tabellen Loonbelasting'!$B$7:$D$9,1,TRUE)),VLOOKUP(AF30,'Tabellen Loonbelasting'!$B$12:$D$15,2,TRUE)*('Inkomensgevolgen uitgebreid'!AF30-VLOOKUP(AF30,'Tabellen Loonbelasting'!$B$12:$D$15,1,TRUE))),0)</f>
        <v>0</v>
      </c>
      <c r="AG32" s="374">
        <f>IF(AG15&lt;&gt;"[leeg]",IF('Loonkosten uitgebreid'!$D$9&gt;='Tabellen Loonbelasting'!$B$5,VLOOKUP(AG30,'Tabellen Loonbelasting'!$B$7:$D$9,2,TRUE)*('Inkomensgevolgen uitgebreid'!AG30-VLOOKUP(AG30,'Tabellen Loonbelasting'!$B$7:$D$9,1,TRUE)),VLOOKUP(AG30,'Tabellen Loonbelasting'!$B$12:$D$15,2,TRUE)*('Inkomensgevolgen uitgebreid'!AG30-VLOOKUP(AG30,'Tabellen Loonbelasting'!$B$12:$D$15,1,TRUE))),0)</f>
        <v>0</v>
      </c>
      <c r="AH32" s="374">
        <f>IF(AH15&lt;&gt;"[leeg]",IF('Loonkosten uitgebreid'!$D$9&gt;='Tabellen Loonbelasting'!$B$5,VLOOKUP(AH30,'Tabellen Loonbelasting'!$B$7:$D$9,2,TRUE)*('Inkomensgevolgen uitgebreid'!AH30-VLOOKUP(AH30,'Tabellen Loonbelasting'!$B$7:$D$9,1,TRUE)),VLOOKUP(AH30,'Tabellen Loonbelasting'!$B$12:$D$15,2,TRUE)*('Inkomensgevolgen uitgebreid'!AH30-VLOOKUP(AH30,'Tabellen Loonbelasting'!$B$12:$D$15,1,TRUE))),0)</f>
        <v>0</v>
      </c>
      <c r="AI32" s="374">
        <f>IF(AI15&lt;&gt;"[leeg]",IF('Loonkosten uitgebreid'!$D$9&gt;='Tabellen Loonbelasting'!$B$5,VLOOKUP(AI30,'Tabellen Loonbelasting'!$B$7:$D$9,2,TRUE)*('Inkomensgevolgen uitgebreid'!AI30-VLOOKUP(AI30,'Tabellen Loonbelasting'!$B$7:$D$9,1,TRUE)),VLOOKUP(AI30,'Tabellen Loonbelasting'!$B$12:$D$15,2,TRUE)*('Inkomensgevolgen uitgebreid'!AI30-VLOOKUP(AI30,'Tabellen Loonbelasting'!$B$12:$D$15,1,TRUE))),0)</f>
        <v>0</v>
      </c>
      <c r="AJ32" s="364"/>
      <c r="AK32" s="380">
        <f>IF(AK15&lt;&gt;"[leeg]",IF('Loonkosten uitgebreid'!$D$9&gt;='Tabellen Loonbelasting'!$B$5,VLOOKUP(AK30,'Tabellen Loonbelasting'!$B$7:$D$9,2,TRUE)*('Inkomensgevolgen uitgebreid'!AK30-VLOOKUP(AK30,'Tabellen Loonbelasting'!$B$7:$D$9,1,TRUE)),VLOOKUP(AK30,'Tabellen Loonbelasting'!$B$12:$D$15,2,TRUE)*('Inkomensgevolgen uitgebreid'!AK30-VLOOKUP(AK30,'Tabellen Loonbelasting'!$B$12:$D$15,1,TRUE))),0)</f>
        <v>21011.544654566398</v>
      </c>
      <c r="AL32" s="380">
        <f>IF(AL15&lt;&gt;"[leeg]",IF('Loonkosten uitgebreid'!$D$9&gt;='Tabellen Loonbelasting'!$B$5,VLOOKUP(AL30,'Tabellen Loonbelasting'!$B$7:$D$9,2,TRUE)*('Inkomensgevolgen uitgebreid'!AL30-VLOOKUP(AL30,'Tabellen Loonbelasting'!$B$7:$D$9,1,TRUE)),VLOOKUP(AL30,'Tabellen Loonbelasting'!$B$12:$D$15,2,TRUE)*('Inkomensgevolgen uitgebreid'!AL30-VLOOKUP(AL30,'Tabellen Loonbelasting'!$B$12:$D$15,1,TRUE))),0)</f>
        <v>21011.544654566398</v>
      </c>
      <c r="AM32" s="380">
        <f>IF(AM15&lt;&gt;"[leeg]",IF('Loonkosten uitgebreid'!$D$9&gt;='Tabellen Loonbelasting'!$B$5,VLOOKUP(AM30,'Tabellen Loonbelasting'!$B$7:$D$9,2,TRUE)*('Inkomensgevolgen uitgebreid'!AM30-VLOOKUP(AM30,'Tabellen Loonbelasting'!$B$7:$D$9,1,TRUE)),VLOOKUP(AM30,'Tabellen Loonbelasting'!$B$12:$D$15,2,TRUE)*('Inkomensgevolgen uitgebreid'!AM30-VLOOKUP(AM30,'Tabellen Loonbelasting'!$B$12:$D$15,1,TRUE))),0)</f>
        <v>21011.544654566398</v>
      </c>
      <c r="AN32" s="380">
        <f>IF(AN15&lt;&gt;"[leeg]",IF('Loonkosten uitgebreid'!$D$9&gt;='Tabellen Loonbelasting'!$B$5,VLOOKUP(AN30,'Tabellen Loonbelasting'!$B$7:$D$9,2,TRUE)*('Inkomensgevolgen uitgebreid'!AN30-VLOOKUP(AN30,'Tabellen Loonbelasting'!$B$7:$D$9,1,TRUE)),VLOOKUP(AN30,'Tabellen Loonbelasting'!$B$12:$D$15,2,TRUE)*('Inkomensgevolgen uitgebreid'!AN30-VLOOKUP(AN30,'Tabellen Loonbelasting'!$B$12:$D$15,1,TRUE))),0)</f>
        <v>0</v>
      </c>
      <c r="AO32" s="380">
        <f>IF(AO15&lt;&gt;"[leeg]",IF('Loonkosten uitgebreid'!$D$9&gt;='Tabellen Loonbelasting'!$B$5,VLOOKUP(AO30,'Tabellen Loonbelasting'!$B$7:$D$9,2,TRUE)*('Inkomensgevolgen uitgebreid'!AO30-VLOOKUP(AO30,'Tabellen Loonbelasting'!$B$7:$D$9,1,TRUE)),VLOOKUP(AO30,'Tabellen Loonbelasting'!$B$12:$D$15,2,TRUE)*('Inkomensgevolgen uitgebreid'!AO30-VLOOKUP(AO30,'Tabellen Loonbelasting'!$B$12:$D$15,1,TRUE))),0)</f>
        <v>0</v>
      </c>
      <c r="AP32" s="380">
        <f>IF(AP15&lt;&gt;"[leeg]",IF('Loonkosten uitgebreid'!$D$9&gt;='Tabellen Loonbelasting'!$B$5,VLOOKUP(AP30,'Tabellen Loonbelasting'!$B$7:$D$9,2,TRUE)*('Inkomensgevolgen uitgebreid'!AP30-VLOOKUP(AP30,'Tabellen Loonbelasting'!$B$7:$D$9,1,TRUE)),VLOOKUP(AP30,'Tabellen Loonbelasting'!$B$12:$D$15,2,TRUE)*('Inkomensgevolgen uitgebreid'!AP30-VLOOKUP(AP30,'Tabellen Loonbelasting'!$B$12:$D$15,1,TRUE))),0)</f>
        <v>0</v>
      </c>
      <c r="AQ32" s="380">
        <f>IF(AQ15&lt;&gt;"[leeg]",IF('Loonkosten uitgebreid'!$D$9&gt;='Tabellen Loonbelasting'!$B$5,VLOOKUP(AQ30,'Tabellen Loonbelasting'!$B$7:$D$9,2,TRUE)*('Inkomensgevolgen uitgebreid'!AQ30-VLOOKUP(AQ30,'Tabellen Loonbelasting'!$B$7:$D$9,1,TRUE)),VLOOKUP(AQ30,'Tabellen Loonbelasting'!$B$12:$D$15,2,TRUE)*('Inkomensgevolgen uitgebreid'!AQ30-VLOOKUP(AQ30,'Tabellen Loonbelasting'!$B$12:$D$15,1,TRUE))),0)</f>
        <v>0</v>
      </c>
      <c r="AR32" s="380">
        <f>IF(AR15&lt;&gt;"[leeg]",IF('Loonkosten uitgebreid'!$D$9&gt;='Tabellen Loonbelasting'!$B$5,VLOOKUP(AR30,'Tabellen Loonbelasting'!$B$7:$D$9,2,TRUE)*('Inkomensgevolgen uitgebreid'!AR30-VLOOKUP(AR30,'Tabellen Loonbelasting'!$B$7:$D$9,1,TRUE)),VLOOKUP(AR30,'Tabellen Loonbelasting'!$B$12:$D$15,2,TRUE)*('Inkomensgevolgen uitgebreid'!AR30-VLOOKUP(AR30,'Tabellen Loonbelasting'!$B$12:$D$15,1,TRUE))),0)</f>
        <v>0</v>
      </c>
      <c r="AS32" s="380">
        <f>IF(AS15&lt;&gt;"[leeg]",IF('Loonkosten uitgebreid'!$D$9&gt;='Tabellen Loonbelasting'!$B$5,VLOOKUP(AS30,'Tabellen Loonbelasting'!$B$7:$D$9,2,TRUE)*('Inkomensgevolgen uitgebreid'!AS30-VLOOKUP(AS30,'Tabellen Loonbelasting'!$B$7:$D$9,1,TRUE)),VLOOKUP(AS30,'Tabellen Loonbelasting'!$B$12:$D$15,2,TRUE)*('Inkomensgevolgen uitgebreid'!AS30-VLOOKUP(AS30,'Tabellen Loonbelasting'!$B$12:$D$15,1,TRUE))),0)</f>
        <v>0</v>
      </c>
      <c r="AT32" s="380">
        <f>IF(AT15&lt;&gt;"[leeg]",IF('Loonkosten uitgebreid'!$D$9&gt;='Tabellen Loonbelasting'!$B$5,VLOOKUP(AT30,'Tabellen Loonbelasting'!$B$7:$D$9,2,TRUE)*('Inkomensgevolgen uitgebreid'!AT30-VLOOKUP(AT30,'Tabellen Loonbelasting'!$B$7:$D$9,1,TRUE)),VLOOKUP(AT30,'Tabellen Loonbelasting'!$B$12:$D$15,2,TRUE)*('Inkomensgevolgen uitgebreid'!AT30-VLOOKUP(AT30,'Tabellen Loonbelasting'!$B$12:$D$15,1,TRUE))),0)</f>
        <v>0</v>
      </c>
    </row>
    <row r="33" spans="2:46" ht="16.5" thickTop="1" thickBot="1" x14ac:dyDescent="0.3">
      <c r="B33" s="104"/>
      <c r="C33" s="42" t="s">
        <v>32</v>
      </c>
      <c r="D33" s="374">
        <f t="shared" ref="D33:M33" si="32">IF(D16&lt;&gt;"[leeg]",Z33/12)</f>
        <v>54.082744184533375</v>
      </c>
      <c r="E33" s="374">
        <f t="shared" si="32"/>
        <v>54.082744184533375</v>
      </c>
      <c r="F33" s="374">
        <f t="shared" si="32"/>
        <v>54.082744184533375</v>
      </c>
      <c r="G33" s="374">
        <f t="shared" si="32"/>
        <v>0</v>
      </c>
      <c r="H33" s="374">
        <f t="shared" si="32"/>
        <v>0</v>
      </c>
      <c r="I33" s="374">
        <f t="shared" si="32"/>
        <v>0</v>
      </c>
      <c r="J33" s="374">
        <f t="shared" si="32"/>
        <v>0</v>
      </c>
      <c r="K33" s="374">
        <f t="shared" si="32"/>
        <v>0</v>
      </c>
      <c r="L33" s="374">
        <f t="shared" si="32"/>
        <v>0</v>
      </c>
      <c r="M33" s="374">
        <f t="shared" si="32"/>
        <v>0</v>
      </c>
      <c r="N33" s="364"/>
      <c r="O33" s="374">
        <f t="shared" si="31"/>
        <v>81.955179184533378</v>
      </c>
      <c r="P33" s="374">
        <f t="shared" si="31"/>
        <v>81.955179184533378</v>
      </c>
      <c r="Q33" s="374">
        <f t="shared" si="31"/>
        <v>81.955179184533378</v>
      </c>
      <c r="R33" s="374">
        <f t="shared" si="31"/>
        <v>0</v>
      </c>
      <c r="S33" s="374">
        <f t="shared" si="31"/>
        <v>0</v>
      </c>
      <c r="T33" s="374">
        <f t="shared" si="31"/>
        <v>0</v>
      </c>
      <c r="U33" s="374">
        <f t="shared" si="31"/>
        <v>0</v>
      </c>
      <c r="V33" s="374">
        <f t="shared" si="31"/>
        <v>0</v>
      </c>
      <c r="W33" s="374">
        <f t="shared" si="31"/>
        <v>0</v>
      </c>
      <c r="X33" s="374">
        <f t="shared" si="31"/>
        <v>0</v>
      </c>
      <c r="Y33" s="364"/>
      <c r="Z33" s="374">
        <f>IF(Z15&lt;&gt;"[leeg]",IF('Loonkosten uitgebreid'!$D$9&gt;'Tabellen Loonbelasting'!$B$5,IF(Z31&gt;='Tabellen Loonbelasting'!$B$22,0,IF(Z31&lt;'Tabellen Loonbelasting'!$B$21,'Tabellen Loonbelasting'!$C$20,'Tabellen Loonbelasting'!$C$20-'Tabellen Loonbelasting'!$C$21*('Inkomensgevolgen uitgebreid'!Z31-'Tabellen Loonbelasting'!$B$21-1))),IF(Z31&gt;='Tabellen Loonbelasting'!$B$27,0,IF(Z31&lt;'Tabellen Loonbelasting'!$B$26,'Tabellen Loonbelasting'!$C$25,'Tabellen Loonbelasting'!$C$25-'Tabellen Loonbelasting'!$C$26*('Inkomensgevolgen uitgebreid'!Z31-'Tabellen Loonbelasting'!$B$26-1)))),0)</f>
        <v>648.99293021440053</v>
      </c>
      <c r="AA33" s="374">
        <f>IF(AA15&lt;&gt;"[leeg]",IF('Loonkosten uitgebreid'!$D$9&gt;'Tabellen Loonbelasting'!$B$5,IF(AA31&gt;='Tabellen Loonbelasting'!$B$22,0,IF(AA31&lt;'Tabellen Loonbelasting'!$B$21,'Tabellen Loonbelasting'!$C$20,'Tabellen Loonbelasting'!$C$20-'Tabellen Loonbelasting'!$C$21*('Inkomensgevolgen uitgebreid'!AA31-'Tabellen Loonbelasting'!$B$21-1))),IF(AA31&gt;='Tabellen Loonbelasting'!$B$27,0,IF(AA31&lt;'Tabellen Loonbelasting'!$B$26,'Tabellen Loonbelasting'!$C$25,'Tabellen Loonbelasting'!$C$25-'Tabellen Loonbelasting'!$C$26*('Inkomensgevolgen uitgebreid'!AA31-'Tabellen Loonbelasting'!$B$26-1)))),0)</f>
        <v>648.99293021440053</v>
      </c>
      <c r="AB33" s="374">
        <f>IF(AB15&lt;&gt;"[leeg]",IF('Loonkosten uitgebreid'!$D$9&gt;'Tabellen Loonbelasting'!$B$5,IF(AB31&gt;='Tabellen Loonbelasting'!$B$22,0,IF(AB31&lt;'Tabellen Loonbelasting'!$B$21,'Tabellen Loonbelasting'!$C$20,'Tabellen Loonbelasting'!$C$20-'Tabellen Loonbelasting'!$C$21*('Inkomensgevolgen uitgebreid'!AB31-'Tabellen Loonbelasting'!$B$21-1))),IF(AB31&gt;='Tabellen Loonbelasting'!$B$27,0,IF(AB31&lt;'Tabellen Loonbelasting'!$B$26,'Tabellen Loonbelasting'!$C$25,'Tabellen Loonbelasting'!$C$25-'Tabellen Loonbelasting'!$C$26*('Inkomensgevolgen uitgebreid'!AB31-'Tabellen Loonbelasting'!$B$26-1)))),0)</f>
        <v>648.99293021440053</v>
      </c>
      <c r="AC33" s="374">
        <f>IF(AC15&lt;&gt;"[leeg]",IF('Loonkosten uitgebreid'!$D$9&gt;'Tabellen Loonbelasting'!$B$5,IF(AC31&gt;='Tabellen Loonbelasting'!$B$22,0,IF(AC31&lt;'Tabellen Loonbelasting'!$B$21,'Tabellen Loonbelasting'!$C$20,'Tabellen Loonbelasting'!$C$20-'Tabellen Loonbelasting'!$C$21*('Inkomensgevolgen uitgebreid'!AC31-'Tabellen Loonbelasting'!$B$21-1))),IF(AC31&gt;='Tabellen Loonbelasting'!$B$27,0,IF(AC31&lt;'Tabellen Loonbelasting'!$B$26,'Tabellen Loonbelasting'!$C$25,'Tabellen Loonbelasting'!$C$25-'Tabellen Loonbelasting'!$C$26*('Inkomensgevolgen uitgebreid'!AC31-'Tabellen Loonbelasting'!$B$26-1)))),0)</f>
        <v>0</v>
      </c>
      <c r="AD33" s="374">
        <f>IF(AD15&lt;&gt;"[leeg]",IF('Loonkosten uitgebreid'!$D$9&gt;'Tabellen Loonbelasting'!$B$5,IF(AD31&gt;='Tabellen Loonbelasting'!$B$22,0,IF(AD31&lt;'Tabellen Loonbelasting'!$B$21,'Tabellen Loonbelasting'!$C$20,'Tabellen Loonbelasting'!$C$20-'Tabellen Loonbelasting'!$C$21*('Inkomensgevolgen uitgebreid'!AD31-'Tabellen Loonbelasting'!$B$21-1))),IF(AD31&gt;='Tabellen Loonbelasting'!$B$27,0,IF(AD31&lt;'Tabellen Loonbelasting'!$B$26,'Tabellen Loonbelasting'!$C$25,'Tabellen Loonbelasting'!$C$25-'Tabellen Loonbelasting'!$C$26*('Inkomensgevolgen uitgebreid'!AD31-'Tabellen Loonbelasting'!$B$26-1)))),0)</f>
        <v>0</v>
      </c>
      <c r="AE33" s="374">
        <f>IF(AE15&lt;&gt;"[leeg]",IF('Loonkosten uitgebreid'!$D$9&gt;'Tabellen Loonbelasting'!$B$5,IF(AE31&gt;='Tabellen Loonbelasting'!$B$22,0,IF(AE31&lt;'Tabellen Loonbelasting'!$B$21,'Tabellen Loonbelasting'!$C$20,'Tabellen Loonbelasting'!$C$20-'Tabellen Loonbelasting'!$C$21*('Inkomensgevolgen uitgebreid'!AE31-'Tabellen Loonbelasting'!$B$21-1))),IF(AE31&gt;='Tabellen Loonbelasting'!$B$27,0,IF(AE31&lt;'Tabellen Loonbelasting'!$B$26,'Tabellen Loonbelasting'!$C$25,'Tabellen Loonbelasting'!$C$25-'Tabellen Loonbelasting'!$C$26*('Inkomensgevolgen uitgebreid'!AE31-'Tabellen Loonbelasting'!$B$26-1)))),0)</f>
        <v>0</v>
      </c>
      <c r="AF33" s="374">
        <f>IF(AF15&lt;&gt;"[leeg]",IF('Loonkosten uitgebreid'!$D$9&gt;'Tabellen Loonbelasting'!$B$5,IF(AF31&gt;='Tabellen Loonbelasting'!$B$22,0,IF(AF31&lt;'Tabellen Loonbelasting'!$B$21,'Tabellen Loonbelasting'!$C$20,'Tabellen Loonbelasting'!$C$20-'Tabellen Loonbelasting'!$C$21*('Inkomensgevolgen uitgebreid'!AF31-'Tabellen Loonbelasting'!$B$21-1))),IF(AF31&gt;='Tabellen Loonbelasting'!$B$27,0,IF(AF31&lt;'Tabellen Loonbelasting'!$B$26,'Tabellen Loonbelasting'!$C$25,'Tabellen Loonbelasting'!$C$25-'Tabellen Loonbelasting'!$C$26*('Inkomensgevolgen uitgebreid'!AF31-'Tabellen Loonbelasting'!$B$26-1)))),0)</f>
        <v>0</v>
      </c>
      <c r="AG33" s="374">
        <f>IF(AG15&lt;&gt;"[leeg]",IF('Loonkosten uitgebreid'!$D$9&gt;'Tabellen Loonbelasting'!$B$5,IF(AG31&gt;='Tabellen Loonbelasting'!$B$22,0,IF(AG31&lt;'Tabellen Loonbelasting'!$B$21,'Tabellen Loonbelasting'!$C$20,'Tabellen Loonbelasting'!$C$20-'Tabellen Loonbelasting'!$C$21*('Inkomensgevolgen uitgebreid'!AG31-'Tabellen Loonbelasting'!$B$21-1))),IF(AG31&gt;='Tabellen Loonbelasting'!$B$27,0,IF(AG31&lt;'Tabellen Loonbelasting'!$B$26,'Tabellen Loonbelasting'!$C$25,'Tabellen Loonbelasting'!$C$25-'Tabellen Loonbelasting'!$C$26*('Inkomensgevolgen uitgebreid'!AG31-'Tabellen Loonbelasting'!$B$26-1)))),0)</f>
        <v>0</v>
      </c>
      <c r="AH33" s="374">
        <f>IF(AH15&lt;&gt;"[leeg]",IF('Loonkosten uitgebreid'!$D$9&gt;'Tabellen Loonbelasting'!$B$5,IF(AH31&gt;='Tabellen Loonbelasting'!$B$22,0,IF(AH31&lt;'Tabellen Loonbelasting'!$B$21,'Tabellen Loonbelasting'!$C$20,'Tabellen Loonbelasting'!$C$20-'Tabellen Loonbelasting'!$C$21*('Inkomensgevolgen uitgebreid'!AH31-'Tabellen Loonbelasting'!$B$21-1))),IF(AH31&gt;='Tabellen Loonbelasting'!$B$27,0,IF(AH31&lt;'Tabellen Loonbelasting'!$B$26,'Tabellen Loonbelasting'!$C$25,'Tabellen Loonbelasting'!$C$25-'Tabellen Loonbelasting'!$C$26*('Inkomensgevolgen uitgebreid'!AH31-'Tabellen Loonbelasting'!$B$26-1)))),0)</f>
        <v>0</v>
      </c>
      <c r="AI33" s="374">
        <f>IF(AI15&lt;&gt;"[leeg]",IF('Loonkosten uitgebreid'!$D$9&gt;'Tabellen Loonbelasting'!$B$5,IF(AI31&gt;='Tabellen Loonbelasting'!$B$22,0,IF(AI31&lt;'Tabellen Loonbelasting'!$B$21,'Tabellen Loonbelasting'!$C$20,'Tabellen Loonbelasting'!$C$20-'Tabellen Loonbelasting'!$C$21*('Inkomensgevolgen uitgebreid'!AI31-'Tabellen Loonbelasting'!$B$21-1))),IF(AI31&gt;='Tabellen Loonbelasting'!$B$27,0,IF(AI31&lt;'Tabellen Loonbelasting'!$B$26,'Tabellen Loonbelasting'!$C$25,'Tabellen Loonbelasting'!$C$25-'Tabellen Loonbelasting'!$C$26*('Inkomensgevolgen uitgebreid'!AI31-'Tabellen Loonbelasting'!$B$26-1)))),0)</f>
        <v>0</v>
      </c>
      <c r="AJ33" s="364"/>
      <c r="AK33" s="380">
        <f>IF(AK15&lt;&gt;"[leeg]",IF('Loonkosten uitgebreid'!$D$9&gt;'Tabellen Loonbelasting'!$B$5,IF(AK31&gt;='Tabellen Loonbelasting'!$B$22,0,IF(AK31&lt;'Tabellen Loonbelasting'!$B$21,'Tabellen Loonbelasting'!$C$20,'Tabellen Loonbelasting'!$C$20-'Tabellen Loonbelasting'!$C$21*('Inkomensgevolgen uitgebreid'!AK31-'Tabellen Loonbelasting'!$B$21-1))),IF(AK31&gt;='Tabellen Loonbelasting'!$B$27,0,IF(AK31&lt;'Tabellen Loonbelasting'!$B$26,'Tabellen Loonbelasting'!$C$25,'Tabellen Loonbelasting'!$C$25-'Tabellen Loonbelasting'!$C$26*('Inkomensgevolgen uitgebreid'!AK31-'Tabellen Loonbelasting'!$B$26-1)))),0)</f>
        <v>983.46215021440048</v>
      </c>
      <c r="AL33" s="380">
        <f>IF(AL15&lt;&gt;"[leeg]",IF('Loonkosten uitgebreid'!$D$9&gt;'Tabellen Loonbelasting'!$B$5,IF(AL31&gt;='Tabellen Loonbelasting'!$B$22,0,IF(AL31&lt;'Tabellen Loonbelasting'!$B$21,'Tabellen Loonbelasting'!$C$20,'Tabellen Loonbelasting'!$C$20-'Tabellen Loonbelasting'!$C$21*('Inkomensgevolgen uitgebreid'!AL31-'Tabellen Loonbelasting'!$B$21-1))),IF(AL31&gt;='Tabellen Loonbelasting'!$B$27,0,IF(AL31&lt;'Tabellen Loonbelasting'!$B$26,'Tabellen Loonbelasting'!$C$25,'Tabellen Loonbelasting'!$C$25-'Tabellen Loonbelasting'!$C$26*('Inkomensgevolgen uitgebreid'!AL31-'Tabellen Loonbelasting'!$B$26-1)))),0)</f>
        <v>983.46215021440048</v>
      </c>
      <c r="AM33" s="380">
        <f>IF(AM15&lt;&gt;"[leeg]",IF('Loonkosten uitgebreid'!$D$9&gt;'Tabellen Loonbelasting'!$B$5,IF(AM31&gt;='Tabellen Loonbelasting'!$B$22,0,IF(AM31&lt;'Tabellen Loonbelasting'!$B$21,'Tabellen Loonbelasting'!$C$20,'Tabellen Loonbelasting'!$C$20-'Tabellen Loonbelasting'!$C$21*('Inkomensgevolgen uitgebreid'!AM31-'Tabellen Loonbelasting'!$B$21-1))),IF(AM31&gt;='Tabellen Loonbelasting'!$B$27,0,IF(AM31&lt;'Tabellen Loonbelasting'!$B$26,'Tabellen Loonbelasting'!$C$25,'Tabellen Loonbelasting'!$C$25-'Tabellen Loonbelasting'!$C$26*('Inkomensgevolgen uitgebreid'!AM31-'Tabellen Loonbelasting'!$B$26-1)))),0)</f>
        <v>983.46215021440048</v>
      </c>
      <c r="AN33" s="380">
        <f>IF(AN15&lt;&gt;"[leeg]",IF('Loonkosten uitgebreid'!$D$9&gt;'Tabellen Loonbelasting'!$B$5,IF(AN31&gt;='Tabellen Loonbelasting'!$B$22,0,IF(AN31&lt;'Tabellen Loonbelasting'!$B$21,'Tabellen Loonbelasting'!$C$20,'Tabellen Loonbelasting'!$C$20-'Tabellen Loonbelasting'!$C$21*('Inkomensgevolgen uitgebreid'!AN31-'Tabellen Loonbelasting'!$B$21-1))),IF(AN31&gt;='Tabellen Loonbelasting'!$B$27,0,IF(AN31&lt;'Tabellen Loonbelasting'!$B$26,'Tabellen Loonbelasting'!$C$25,'Tabellen Loonbelasting'!$C$25-'Tabellen Loonbelasting'!$C$26*('Inkomensgevolgen uitgebreid'!AN31-'Tabellen Loonbelasting'!$B$26-1)))),0)</f>
        <v>0</v>
      </c>
      <c r="AO33" s="380">
        <f>IF(AO15&lt;&gt;"[leeg]",IF('Loonkosten uitgebreid'!$D$9&gt;'Tabellen Loonbelasting'!$B$5,IF(AO31&gt;='Tabellen Loonbelasting'!$B$22,0,IF(AO31&lt;'Tabellen Loonbelasting'!$B$21,'Tabellen Loonbelasting'!$C$20,'Tabellen Loonbelasting'!$C$20-'Tabellen Loonbelasting'!$C$21*('Inkomensgevolgen uitgebreid'!AO31-'Tabellen Loonbelasting'!$B$21-1))),IF(AO31&gt;='Tabellen Loonbelasting'!$B$27,0,IF(AO31&lt;'Tabellen Loonbelasting'!$B$26,'Tabellen Loonbelasting'!$C$25,'Tabellen Loonbelasting'!$C$25-'Tabellen Loonbelasting'!$C$26*('Inkomensgevolgen uitgebreid'!AO31-'Tabellen Loonbelasting'!$B$26-1)))),0)</f>
        <v>0</v>
      </c>
      <c r="AP33" s="380">
        <f>IF(AP15&lt;&gt;"[leeg]",IF('Loonkosten uitgebreid'!$D$9&gt;'Tabellen Loonbelasting'!$B$5,IF(AP31&gt;='Tabellen Loonbelasting'!$B$22,0,IF(AP31&lt;'Tabellen Loonbelasting'!$B$21,'Tabellen Loonbelasting'!$C$20,'Tabellen Loonbelasting'!$C$20-'Tabellen Loonbelasting'!$C$21*('Inkomensgevolgen uitgebreid'!AP31-'Tabellen Loonbelasting'!$B$21-1))),IF(AP31&gt;='Tabellen Loonbelasting'!$B$27,0,IF(AP31&lt;'Tabellen Loonbelasting'!$B$26,'Tabellen Loonbelasting'!$C$25,'Tabellen Loonbelasting'!$C$25-'Tabellen Loonbelasting'!$C$26*('Inkomensgevolgen uitgebreid'!AP31-'Tabellen Loonbelasting'!$B$26-1)))),0)</f>
        <v>0</v>
      </c>
      <c r="AQ33" s="380">
        <f>IF(AQ15&lt;&gt;"[leeg]",IF('Loonkosten uitgebreid'!$D$9&gt;'Tabellen Loonbelasting'!$B$5,IF(AQ31&gt;='Tabellen Loonbelasting'!$B$22,0,IF(AQ31&lt;'Tabellen Loonbelasting'!$B$21,'Tabellen Loonbelasting'!$C$20,'Tabellen Loonbelasting'!$C$20-'Tabellen Loonbelasting'!$C$21*('Inkomensgevolgen uitgebreid'!AQ31-'Tabellen Loonbelasting'!$B$21-1))),IF(AQ31&gt;='Tabellen Loonbelasting'!$B$27,0,IF(AQ31&lt;'Tabellen Loonbelasting'!$B$26,'Tabellen Loonbelasting'!$C$25,'Tabellen Loonbelasting'!$C$25-'Tabellen Loonbelasting'!$C$26*('Inkomensgevolgen uitgebreid'!AQ31-'Tabellen Loonbelasting'!$B$26-1)))),0)</f>
        <v>0</v>
      </c>
      <c r="AR33" s="380">
        <f>IF(AR15&lt;&gt;"[leeg]",IF('Loonkosten uitgebreid'!$D$9&gt;'Tabellen Loonbelasting'!$B$5,IF(AR31&gt;='Tabellen Loonbelasting'!$B$22,0,IF(AR31&lt;'Tabellen Loonbelasting'!$B$21,'Tabellen Loonbelasting'!$C$20,'Tabellen Loonbelasting'!$C$20-'Tabellen Loonbelasting'!$C$21*('Inkomensgevolgen uitgebreid'!AR31-'Tabellen Loonbelasting'!$B$21-1))),IF(AR31&gt;='Tabellen Loonbelasting'!$B$27,0,IF(AR31&lt;'Tabellen Loonbelasting'!$B$26,'Tabellen Loonbelasting'!$C$25,'Tabellen Loonbelasting'!$C$25-'Tabellen Loonbelasting'!$C$26*('Inkomensgevolgen uitgebreid'!AR31-'Tabellen Loonbelasting'!$B$26-1)))),0)</f>
        <v>0</v>
      </c>
      <c r="AS33" s="380">
        <f>IF(AS15&lt;&gt;"[leeg]",IF('Loonkosten uitgebreid'!$D$9&gt;'Tabellen Loonbelasting'!$B$5,IF(AS31&gt;='Tabellen Loonbelasting'!$B$22,0,IF(AS31&lt;'Tabellen Loonbelasting'!$B$21,'Tabellen Loonbelasting'!$C$20,'Tabellen Loonbelasting'!$C$20-'Tabellen Loonbelasting'!$C$21*('Inkomensgevolgen uitgebreid'!AS31-'Tabellen Loonbelasting'!$B$21-1))),IF(AS31&gt;='Tabellen Loonbelasting'!$B$27,0,IF(AS31&lt;'Tabellen Loonbelasting'!$B$26,'Tabellen Loonbelasting'!$C$25,'Tabellen Loonbelasting'!$C$25-'Tabellen Loonbelasting'!$C$26*('Inkomensgevolgen uitgebreid'!AS31-'Tabellen Loonbelasting'!$B$26-1)))),0)</f>
        <v>0</v>
      </c>
      <c r="AT33" s="380">
        <f>IF(AT15&lt;&gt;"[leeg]",IF('Loonkosten uitgebreid'!$D$9&gt;'Tabellen Loonbelasting'!$B$5,IF(AT31&gt;='Tabellen Loonbelasting'!$B$22,0,IF(AT31&lt;'Tabellen Loonbelasting'!$B$21,'Tabellen Loonbelasting'!$C$20,'Tabellen Loonbelasting'!$C$20-'Tabellen Loonbelasting'!$C$21*('Inkomensgevolgen uitgebreid'!AT31-'Tabellen Loonbelasting'!$B$21-1))),IF(AT31&gt;='Tabellen Loonbelasting'!$B$27,0,IF(AT31&lt;'Tabellen Loonbelasting'!$B$26,'Tabellen Loonbelasting'!$C$25,'Tabellen Loonbelasting'!$C$25-'Tabellen Loonbelasting'!$C$26*('Inkomensgevolgen uitgebreid'!AT31-'Tabellen Loonbelasting'!$B$26-1)))),0)</f>
        <v>0</v>
      </c>
    </row>
    <row r="34" spans="2:46" ht="16.5" thickTop="1" thickBot="1" x14ac:dyDescent="0.3">
      <c r="B34" s="104"/>
      <c r="C34" s="42" t="s">
        <v>33</v>
      </c>
      <c r="D34" s="374">
        <f t="shared" ref="D34:M34" si="33">IF(D15&lt;&gt;"[leeg]",IF(Z34="p.m.","p.m.",Z34/12),0)</f>
        <v>732.02175375039997</v>
      </c>
      <c r="E34" s="374">
        <f t="shared" si="33"/>
        <v>732.02175375039997</v>
      </c>
      <c r="F34" s="374">
        <f t="shared" si="33"/>
        <v>732.02175375039997</v>
      </c>
      <c r="G34" s="374">
        <f t="shared" si="33"/>
        <v>0</v>
      </c>
      <c r="H34" s="374">
        <f t="shared" si="33"/>
        <v>0</v>
      </c>
      <c r="I34" s="374">
        <f t="shared" si="33"/>
        <v>0</v>
      </c>
      <c r="J34" s="374">
        <f t="shared" si="33"/>
        <v>0</v>
      </c>
      <c r="K34" s="374">
        <f t="shared" si="33"/>
        <v>0</v>
      </c>
      <c r="L34" s="374">
        <f t="shared" si="33"/>
        <v>0</v>
      </c>
      <c r="M34" s="374">
        <f t="shared" si="33"/>
        <v>0</v>
      </c>
      <c r="N34" s="364"/>
      <c r="O34" s="374">
        <f t="shared" ref="O34:X34" si="34">IF(O$15&lt;&gt;"[leeg]",IF(AK34="p.m.","p.m.",AK34/12),0)</f>
        <v>702.2515237504</v>
      </c>
      <c r="P34" s="374">
        <f t="shared" si="34"/>
        <v>702.2515237504</v>
      </c>
      <c r="Q34" s="374">
        <f t="shared" si="34"/>
        <v>702.2515237504</v>
      </c>
      <c r="R34" s="374">
        <f t="shared" si="34"/>
        <v>0</v>
      </c>
      <c r="S34" s="374">
        <f t="shared" si="34"/>
        <v>0</v>
      </c>
      <c r="T34" s="374">
        <f t="shared" si="34"/>
        <v>0</v>
      </c>
      <c r="U34" s="374">
        <f t="shared" si="34"/>
        <v>0</v>
      </c>
      <c r="V34" s="374">
        <f t="shared" si="34"/>
        <v>0</v>
      </c>
      <c r="W34" s="374">
        <f t="shared" si="34"/>
        <v>0</v>
      </c>
      <c r="X34" s="374">
        <f t="shared" si="34"/>
        <v>0</v>
      </c>
      <c r="Y34" s="364"/>
      <c r="Z34" s="374">
        <f>IF(Z15&lt;&gt;"[leeg]",IF('Loonkosten uitgebreid'!$D$9&gt;'Tabellen Loonbelasting'!$B$5,VLOOKUP(Z31,'Tabellen Loonbelasting'!$B$37:$E$41,2,TRUE)+VLOOKUP(Z31,'Tabellen Loonbelasting'!$B$37:$E$41,3,TRUE)*('Inkomensgevolgen uitgebreid'!Z31-VLOOKUP(Z31,'Tabellen Loonbelasting'!$B$37:$E$41,2,TRUE)),"p.m."),0)</f>
        <v>8784.2610450047996</v>
      </c>
      <c r="AA34" s="374">
        <f>IF(AA15&lt;&gt;"[leeg]",IF('Loonkosten uitgebreid'!$D$9&gt;'Tabellen Loonbelasting'!$B$5,VLOOKUP(AA31,'Tabellen Loonbelasting'!$B$37:$E$41,2,TRUE)+VLOOKUP(AA31,'Tabellen Loonbelasting'!$B$37:$E$41,3,TRUE)*('Inkomensgevolgen uitgebreid'!AA31-VLOOKUP(AA31,'Tabellen Loonbelasting'!$B$37:$E$41,2,TRUE)),"p.m."),0)</f>
        <v>8784.2610450047996</v>
      </c>
      <c r="AB34" s="374">
        <f>IF(AB15&lt;&gt;"[leeg]",IF('Loonkosten uitgebreid'!$D$9&gt;'Tabellen Loonbelasting'!$B$5,VLOOKUP(AB31,'Tabellen Loonbelasting'!$B$37:$E$41,2,TRUE)+VLOOKUP(AB31,'Tabellen Loonbelasting'!$B$37:$E$41,3,TRUE)*('Inkomensgevolgen uitgebreid'!AB31-VLOOKUP(AB31,'Tabellen Loonbelasting'!$B$37:$E$41,2,TRUE)),"p.m."),0)</f>
        <v>8784.2610450047996</v>
      </c>
      <c r="AC34" s="374">
        <f>IF(AC15&lt;&gt;"[leeg]",IF('Loonkosten uitgebreid'!$D$9&gt;'Tabellen Loonbelasting'!$B$5,VLOOKUP(AC31,'Tabellen Loonbelasting'!$B$37:$E$41,2,TRUE)+VLOOKUP(AC31,'Tabellen Loonbelasting'!$B$37:$E$41,3,TRUE)*('Inkomensgevolgen uitgebreid'!AC31-VLOOKUP(AC31,'Tabellen Loonbelasting'!$B$37:$E$41,2,TRUE)),"p.m."),0)</f>
        <v>0</v>
      </c>
      <c r="AD34" s="374">
        <f>IF(AD15&lt;&gt;"[leeg]",IF('Loonkosten uitgebreid'!$D$9&gt;'Tabellen Loonbelasting'!$B$5,VLOOKUP(AD31,'Tabellen Loonbelasting'!$B$37:$E$41,2,TRUE)+VLOOKUP(AD31,'Tabellen Loonbelasting'!$B$37:$E$41,3,TRUE)*('Inkomensgevolgen uitgebreid'!AD31-VLOOKUP(AD31,'Tabellen Loonbelasting'!$B$37:$E$41,2,TRUE)),"p.m."),0)</f>
        <v>0</v>
      </c>
      <c r="AE34" s="374">
        <f>IF(AE15&lt;&gt;"[leeg]",IF('Loonkosten uitgebreid'!$D$9&gt;'Tabellen Loonbelasting'!$B$5,VLOOKUP(AE31,'Tabellen Loonbelasting'!$B$37:$E$41,2,TRUE)+VLOOKUP(AE31,'Tabellen Loonbelasting'!$B$37:$E$41,3,TRUE)*('Inkomensgevolgen uitgebreid'!AE31-VLOOKUP(AE31,'Tabellen Loonbelasting'!$B$37:$E$41,2,TRUE)),"p.m."),0)</f>
        <v>0</v>
      </c>
      <c r="AF34" s="374">
        <f>IF(AF15&lt;&gt;"[leeg]",IF('Loonkosten uitgebreid'!$D$9&gt;'Tabellen Loonbelasting'!$B$5,VLOOKUP(AF31,'Tabellen Loonbelasting'!$B$37:$E$41,2,TRUE)+VLOOKUP(AF31,'Tabellen Loonbelasting'!$B$37:$E$41,3,TRUE)*('Inkomensgevolgen uitgebreid'!AF31-VLOOKUP(AF31,'Tabellen Loonbelasting'!$B$37:$E$41,2,TRUE)),"p.m."),0)</f>
        <v>0</v>
      </c>
      <c r="AG34" s="374">
        <f>IF(AG15&lt;&gt;"[leeg]",IF('Loonkosten uitgebreid'!$D$9&gt;'Tabellen Loonbelasting'!$B$5,VLOOKUP(AG31,'Tabellen Loonbelasting'!$B$37:$E$41,2,TRUE)+VLOOKUP(AG31,'Tabellen Loonbelasting'!$B$37:$E$41,3,TRUE)*('Inkomensgevolgen uitgebreid'!AG31-VLOOKUP(AG31,'Tabellen Loonbelasting'!$B$37:$E$41,2,TRUE)),"p.m."),0)</f>
        <v>0</v>
      </c>
      <c r="AH34" s="374">
        <f>IF(AH15&lt;&gt;"[leeg]",IF('Loonkosten uitgebreid'!$D$9&gt;'Tabellen Loonbelasting'!$B$5,VLOOKUP(AH31,'Tabellen Loonbelasting'!$B$37:$E$41,2,TRUE)+VLOOKUP(AH31,'Tabellen Loonbelasting'!$B$37:$E$41,3,TRUE)*('Inkomensgevolgen uitgebreid'!AH31-VLOOKUP(AH31,'Tabellen Loonbelasting'!$B$37:$E$41,2,TRUE)),"p.m."),0)</f>
        <v>0</v>
      </c>
      <c r="AI34" s="374">
        <f>IF(AI15&lt;&gt;"[leeg]",IF('Loonkosten uitgebreid'!$D$9&gt;'Tabellen Loonbelasting'!$B$5,VLOOKUP(AI31,'Tabellen Loonbelasting'!$B$37:$E$41,2,TRUE)+VLOOKUP(AI31,'Tabellen Loonbelasting'!$B$37:$E$41,3,TRUE)*('Inkomensgevolgen uitgebreid'!AI31-VLOOKUP(AI31,'Tabellen Loonbelasting'!$B$37:$E$41,2,TRUE)),"p.m."),0)</f>
        <v>0</v>
      </c>
      <c r="AJ34" s="364"/>
      <c r="AK34" s="378">
        <f>IF(AK15&lt;&gt;"[leeg]",IF('Loonkosten uitgebreid'!$D$9&gt;'Tabellen Loonbelasting'!$B$5,VLOOKUP(AK31,'Tabellen Loonbelasting'!$B$37:$E$41,2,TRUE)+VLOOKUP(AK31,'Tabellen Loonbelasting'!$B$37:$E$41,3,TRUE)*('Inkomensgevolgen uitgebreid'!AK31-VLOOKUP(AK31,'Tabellen Loonbelasting'!$B$37:$E$41,2,TRUE)),"p.m."),0)</f>
        <v>8427.0182850048004</v>
      </c>
      <c r="AL34" s="378">
        <f>IF(AL15&lt;&gt;"[leeg]",IF('Loonkosten uitgebreid'!$D$9&gt;'Tabellen Loonbelasting'!$B$5,VLOOKUP(AL31,'Tabellen Loonbelasting'!$B$37:$E$41,2,TRUE)+VLOOKUP(AL31,'Tabellen Loonbelasting'!$B$37:$E$41,3,TRUE)*('Inkomensgevolgen uitgebreid'!AL31-VLOOKUP(AL31,'Tabellen Loonbelasting'!$B$37:$E$41,2,TRUE)),"p.m."),0)</f>
        <v>8427.0182850048004</v>
      </c>
      <c r="AM34" s="378">
        <f>IF(AM15&lt;&gt;"[leeg]",IF('Loonkosten uitgebreid'!$D$9&gt;'Tabellen Loonbelasting'!$B$5,VLOOKUP(AM31,'Tabellen Loonbelasting'!$B$37:$E$41,2,TRUE)+VLOOKUP(AM31,'Tabellen Loonbelasting'!$B$37:$E$41,3,TRUE)*('Inkomensgevolgen uitgebreid'!AM31-VLOOKUP(AM31,'Tabellen Loonbelasting'!$B$37:$E$41,2,TRUE)),"p.m."),0)</f>
        <v>8427.0182850048004</v>
      </c>
      <c r="AN34" s="378">
        <f>IF(AN15&lt;&gt;"[leeg]",IF('Loonkosten uitgebreid'!$D$9&gt;'Tabellen Loonbelasting'!$B$5,VLOOKUP(AN31,'Tabellen Loonbelasting'!$B$37:$E$41,2,TRUE)+VLOOKUP(AN31,'Tabellen Loonbelasting'!$B$37:$E$41,3,TRUE)*('Inkomensgevolgen uitgebreid'!AN31-VLOOKUP(AN31,'Tabellen Loonbelasting'!$B$37:$E$41,2,TRUE)),"p.m."),0)</f>
        <v>0</v>
      </c>
      <c r="AO34" s="378">
        <f>IF(AO15&lt;&gt;"[leeg]",IF('Loonkosten uitgebreid'!$D$9&gt;'Tabellen Loonbelasting'!$B$5,VLOOKUP(AO31,'Tabellen Loonbelasting'!$B$37:$E$41,2,TRUE)+VLOOKUP(AO31,'Tabellen Loonbelasting'!$B$37:$E$41,3,TRUE)*('Inkomensgevolgen uitgebreid'!AO31-VLOOKUP(AO31,'Tabellen Loonbelasting'!$B$37:$E$41,2,TRUE)),"p.m."),0)</f>
        <v>0</v>
      </c>
      <c r="AP34" s="378">
        <f>IF(AP15&lt;&gt;"[leeg]",IF('Loonkosten uitgebreid'!$D$9&gt;'Tabellen Loonbelasting'!$B$5,VLOOKUP(AP31,'Tabellen Loonbelasting'!$B$37:$E$41,2,TRUE)+VLOOKUP(AP31,'Tabellen Loonbelasting'!$B$37:$E$41,3,TRUE)*('Inkomensgevolgen uitgebreid'!AP31-VLOOKUP(AP31,'Tabellen Loonbelasting'!$B$37:$E$41,2,TRUE)),"p.m."),0)</f>
        <v>0</v>
      </c>
      <c r="AQ34" s="378">
        <f>IF(AQ15&lt;&gt;"[leeg]",IF('Loonkosten uitgebreid'!$D$9&gt;'Tabellen Loonbelasting'!$B$5,VLOOKUP(AQ31,'Tabellen Loonbelasting'!$B$37:$E$41,2,TRUE)+VLOOKUP(AQ31,'Tabellen Loonbelasting'!$B$37:$E$41,3,TRUE)*('Inkomensgevolgen uitgebreid'!AQ31-VLOOKUP(AQ31,'Tabellen Loonbelasting'!$B$37:$E$41,2,TRUE)),"p.m."),0)</f>
        <v>0</v>
      </c>
      <c r="AR34" s="378">
        <f>IF(AR15&lt;&gt;"[leeg]",IF('Loonkosten uitgebreid'!$D$9&gt;'Tabellen Loonbelasting'!$B$5,VLOOKUP(AR31,'Tabellen Loonbelasting'!$B$37:$E$41,2,TRUE)+VLOOKUP(AR31,'Tabellen Loonbelasting'!$B$37:$E$41,3,TRUE)*('Inkomensgevolgen uitgebreid'!AR31-VLOOKUP(AR31,'Tabellen Loonbelasting'!$B$37:$E$41,2,TRUE)),"p.m."),0)</f>
        <v>0</v>
      </c>
      <c r="AS34" s="378">
        <f>IF(AS15&lt;&gt;"[leeg]",IF('Loonkosten uitgebreid'!$D$9&gt;'Tabellen Loonbelasting'!$B$5,VLOOKUP(AS31,'Tabellen Loonbelasting'!$B$37:$E$41,2,TRUE)+VLOOKUP(AS31,'Tabellen Loonbelasting'!$B$37:$E$41,3,TRUE)*('Inkomensgevolgen uitgebreid'!AS31-VLOOKUP(AS31,'Tabellen Loonbelasting'!$B$37:$E$41,2,TRUE)),"p.m."),0)</f>
        <v>0</v>
      </c>
      <c r="AT34" s="378">
        <f>IF(AT15&lt;&gt;"[leeg]",IF('Loonkosten uitgebreid'!$D$9&gt;'Tabellen Loonbelasting'!$B$5,VLOOKUP(AT31,'Tabellen Loonbelasting'!$B$37:$E$41,2,TRUE)+VLOOKUP(AT31,'Tabellen Loonbelasting'!$B$37:$E$41,3,TRUE)*('Inkomensgevolgen uitgebreid'!AT31-VLOOKUP(AT31,'Tabellen Loonbelasting'!$B$37:$E$41,2,TRUE)),"p.m."),0)</f>
        <v>0</v>
      </c>
    </row>
    <row r="35" spans="2:46" ht="16.5" collapsed="1" thickTop="1" thickBot="1" x14ac:dyDescent="0.3">
      <c r="B35" s="365"/>
      <c r="C35" s="365" t="s">
        <v>111</v>
      </c>
      <c r="D35" s="374">
        <f>MAX(D32-D33-IF(D34&lt;&gt;"p.m.",D34,0),0)</f>
        <v>1133.7384466122667</v>
      </c>
      <c r="E35" s="374">
        <f t="shared" ref="E35:M35" si="35">MAX(E32-E33-IF(E34&lt;&gt;"p.m.",E34,0),0)</f>
        <v>1133.7384466122667</v>
      </c>
      <c r="F35" s="374">
        <f t="shared" si="35"/>
        <v>1133.7384466122667</v>
      </c>
      <c r="G35" s="374">
        <f t="shared" si="35"/>
        <v>0</v>
      </c>
      <c r="H35" s="374">
        <f t="shared" si="35"/>
        <v>0</v>
      </c>
      <c r="I35" s="374">
        <f t="shared" si="35"/>
        <v>0</v>
      </c>
      <c r="J35" s="374">
        <f t="shared" si="35"/>
        <v>0</v>
      </c>
      <c r="K35" s="374">
        <f t="shared" si="35"/>
        <v>0</v>
      </c>
      <c r="L35" s="374">
        <f t="shared" si="35"/>
        <v>0</v>
      </c>
      <c r="M35" s="374">
        <f t="shared" si="35"/>
        <v>0</v>
      </c>
      <c r="N35" s="364"/>
      <c r="O35" s="374">
        <f>MAX(O32-O33-IF(O34&lt;&gt;"p.m.",O34,0),0)</f>
        <v>966.75535161226651</v>
      </c>
      <c r="P35" s="374">
        <f t="shared" ref="P35:X35" si="36">MAX(P32-P33-IF(P34&lt;&gt;"p.m.",P34,0),0)</f>
        <v>966.75535161226651</v>
      </c>
      <c r="Q35" s="374">
        <f t="shared" si="36"/>
        <v>966.75535161226651</v>
      </c>
      <c r="R35" s="374">
        <f t="shared" si="36"/>
        <v>0</v>
      </c>
      <c r="S35" s="374">
        <f t="shared" si="36"/>
        <v>0</v>
      </c>
      <c r="T35" s="374">
        <f t="shared" si="36"/>
        <v>0</v>
      </c>
      <c r="U35" s="374">
        <f t="shared" si="36"/>
        <v>0</v>
      </c>
      <c r="V35" s="374">
        <f t="shared" si="36"/>
        <v>0</v>
      </c>
      <c r="W35" s="374">
        <f t="shared" si="36"/>
        <v>0</v>
      </c>
      <c r="X35" s="374">
        <f t="shared" si="36"/>
        <v>0</v>
      </c>
      <c r="Y35" s="364"/>
      <c r="Z35" s="374">
        <f>MAX(Z32-Z33-IF(Z34&lt;&gt;"p.m.",Z34,0),0)</f>
        <v>13604.861359347198</v>
      </c>
      <c r="AA35" s="374">
        <f t="shared" ref="AA35:AI35" si="37">MAX(AA32-AA33-IF(AA34&lt;&gt;"p.m.",AA34,0),0)</f>
        <v>13604.861359347198</v>
      </c>
      <c r="AB35" s="374">
        <f t="shared" si="37"/>
        <v>13604.861359347198</v>
      </c>
      <c r="AC35" s="374">
        <f t="shared" si="37"/>
        <v>0</v>
      </c>
      <c r="AD35" s="374">
        <f t="shared" si="37"/>
        <v>0</v>
      </c>
      <c r="AE35" s="374">
        <f t="shared" si="37"/>
        <v>0</v>
      </c>
      <c r="AF35" s="374">
        <f t="shared" si="37"/>
        <v>0</v>
      </c>
      <c r="AG35" s="374">
        <f t="shared" si="37"/>
        <v>0</v>
      </c>
      <c r="AH35" s="374">
        <f t="shared" si="37"/>
        <v>0</v>
      </c>
      <c r="AI35" s="374">
        <f t="shared" si="37"/>
        <v>0</v>
      </c>
      <c r="AJ35" s="364"/>
      <c r="AK35" s="375">
        <f t="shared" ref="AK35:AT35" si="38">MAX(AK32-AK33-IF(AK34&lt;&gt;"p.m.",AK34,0),0)</f>
        <v>11601.064219347198</v>
      </c>
      <c r="AL35" s="375">
        <f t="shared" si="38"/>
        <v>11601.064219347198</v>
      </c>
      <c r="AM35" s="375">
        <f t="shared" si="38"/>
        <v>11601.064219347198</v>
      </c>
      <c r="AN35" s="375">
        <f t="shared" si="38"/>
        <v>0</v>
      </c>
      <c r="AO35" s="375">
        <f t="shared" si="38"/>
        <v>0</v>
      </c>
      <c r="AP35" s="375">
        <f t="shared" si="38"/>
        <v>0</v>
      </c>
      <c r="AQ35" s="375">
        <f t="shared" si="38"/>
        <v>0</v>
      </c>
      <c r="AR35" s="375">
        <f t="shared" si="38"/>
        <v>0</v>
      </c>
      <c r="AS35" s="375">
        <f t="shared" si="38"/>
        <v>0</v>
      </c>
      <c r="AT35" s="375">
        <f t="shared" si="38"/>
        <v>0</v>
      </c>
    </row>
    <row r="36" spans="2:46" ht="15.75" thickTop="1" x14ac:dyDescent="0.25">
      <c r="B36" s="365"/>
      <c r="C36" s="365"/>
      <c r="D36" s="104"/>
      <c r="E36" s="104"/>
      <c r="F36" s="104"/>
      <c r="G36" s="104"/>
      <c r="H36" s="104"/>
      <c r="I36" s="104"/>
      <c r="J36" s="104"/>
      <c r="K36" s="104"/>
      <c r="L36" s="104"/>
      <c r="M36" s="104"/>
      <c r="N36" s="364"/>
      <c r="O36" s="104"/>
      <c r="P36" s="104"/>
      <c r="Q36" s="104"/>
      <c r="R36" s="104"/>
      <c r="S36" s="104"/>
      <c r="T36" s="104"/>
      <c r="U36" s="104"/>
      <c r="V36" s="104"/>
      <c r="W36" s="104"/>
      <c r="X36" s="104"/>
      <c r="Y36" s="364"/>
      <c r="Z36" s="104"/>
      <c r="AA36" s="104"/>
      <c r="AB36" s="104"/>
      <c r="AC36" s="104"/>
      <c r="AD36" s="104"/>
      <c r="AE36" s="104"/>
      <c r="AF36" s="104"/>
      <c r="AG36" s="104"/>
      <c r="AH36" s="104"/>
      <c r="AI36" s="104"/>
      <c r="AJ36" s="364"/>
      <c r="AK36" s="104"/>
      <c r="AL36" s="104"/>
      <c r="AM36" s="104"/>
      <c r="AN36" s="104"/>
      <c r="AO36" s="104"/>
      <c r="AP36" s="104"/>
      <c r="AQ36" s="104"/>
      <c r="AR36" s="104"/>
      <c r="AS36" s="104"/>
      <c r="AT36" s="104"/>
    </row>
    <row r="37" spans="2:46" ht="15.75" thickBot="1" x14ac:dyDescent="0.3">
      <c r="B37" s="104"/>
      <c r="C37" s="42" t="s">
        <v>146</v>
      </c>
      <c r="D37" s="104"/>
      <c r="E37" s="104"/>
      <c r="F37" s="104"/>
      <c r="G37" s="104"/>
      <c r="H37" s="104"/>
      <c r="I37" s="104"/>
      <c r="J37" s="104"/>
      <c r="K37" s="104"/>
      <c r="L37" s="104"/>
      <c r="M37" s="104"/>
      <c r="N37" s="364"/>
      <c r="O37" s="104"/>
      <c r="P37" s="104"/>
      <c r="Q37" s="104"/>
      <c r="R37" s="104"/>
      <c r="S37" s="104"/>
      <c r="T37" s="104"/>
      <c r="U37" s="104"/>
      <c r="V37" s="104"/>
      <c r="W37" s="104"/>
      <c r="X37" s="104"/>
      <c r="Y37" s="364"/>
      <c r="Z37" s="104"/>
      <c r="AA37" s="104"/>
      <c r="AB37" s="104"/>
      <c r="AC37" s="104"/>
      <c r="AD37" s="104"/>
      <c r="AE37" s="104"/>
      <c r="AF37" s="104"/>
      <c r="AG37" s="104"/>
      <c r="AH37" s="104"/>
      <c r="AI37" s="104"/>
      <c r="AJ37" s="364"/>
      <c r="AK37" s="104"/>
      <c r="AL37" s="104"/>
      <c r="AM37" s="104"/>
      <c r="AN37" s="104"/>
      <c r="AO37" s="104"/>
      <c r="AP37" s="104"/>
      <c r="AQ37" s="104"/>
      <c r="AR37" s="104"/>
      <c r="AS37" s="104"/>
      <c r="AT37" s="104"/>
    </row>
    <row r="38" spans="2:46" ht="16.5" thickTop="1" thickBot="1" x14ac:dyDescent="0.3">
      <c r="B38" s="104"/>
      <c r="C38" s="365" t="s">
        <v>110</v>
      </c>
      <c r="D38" s="374">
        <f t="shared" ref="D38:M38" si="39">D17-D24-D35</f>
        <v>4006.151457387733</v>
      </c>
      <c r="E38" s="374">
        <f t="shared" si="39"/>
        <v>4006.151457387733</v>
      </c>
      <c r="F38" s="374">
        <f t="shared" si="39"/>
        <v>4006.151457387733</v>
      </c>
      <c r="G38" s="374">
        <f t="shared" si="39"/>
        <v>0</v>
      </c>
      <c r="H38" s="374">
        <f t="shared" si="39"/>
        <v>0</v>
      </c>
      <c r="I38" s="374">
        <f t="shared" si="39"/>
        <v>0</v>
      </c>
      <c r="J38" s="374">
        <f t="shared" si="39"/>
        <v>0</v>
      </c>
      <c r="K38" s="374">
        <f t="shared" si="39"/>
        <v>0</v>
      </c>
      <c r="L38" s="374">
        <f t="shared" si="39"/>
        <v>0</v>
      </c>
      <c r="M38" s="374">
        <f t="shared" si="39"/>
        <v>0</v>
      </c>
      <c r="N38" s="364"/>
      <c r="O38" s="374">
        <f t="shared" ref="O38:X38" si="40">O17-O24-O35</f>
        <v>3715.8345523877329</v>
      </c>
      <c r="P38" s="374">
        <f t="shared" si="40"/>
        <v>3715.8345523877329</v>
      </c>
      <c r="Q38" s="374">
        <f t="shared" si="40"/>
        <v>3715.8345523877329</v>
      </c>
      <c r="R38" s="374">
        <f t="shared" si="40"/>
        <v>0</v>
      </c>
      <c r="S38" s="374">
        <f t="shared" si="40"/>
        <v>0</v>
      </c>
      <c r="T38" s="374">
        <f t="shared" si="40"/>
        <v>0</v>
      </c>
      <c r="U38" s="374">
        <f t="shared" si="40"/>
        <v>0</v>
      </c>
      <c r="V38" s="374">
        <f t="shared" si="40"/>
        <v>0</v>
      </c>
      <c r="W38" s="374">
        <f t="shared" si="40"/>
        <v>0</v>
      </c>
      <c r="X38" s="374">
        <f t="shared" si="40"/>
        <v>0</v>
      </c>
      <c r="Y38" s="364"/>
      <c r="Z38" s="374">
        <f>Z17-Z24-Z35</f>
        <v>48073.8174886528</v>
      </c>
      <c r="AA38" s="374">
        <f t="shared" ref="AA38:AI38" si="41">AA17-AA24-AA35</f>
        <v>48073.8174886528</v>
      </c>
      <c r="AB38" s="374">
        <f t="shared" si="41"/>
        <v>48073.8174886528</v>
      </c>
      <c r="AC38" s="374">
        <f t="shared" si="41"/>
        <v>0</v>
      </c>
      <c r="AD38" s="374">
        <f t="shared" si="41"/>
        <v>0</v>
      </c>
      <c r="AE38" s="374">
        <f t="shared" si="41"/>
        <v>0</v>
      </c>
      <c r="AF38" s="374">
        <f t="shared" si="41"/>
        <v>0</v>
      </c>
      <c r="AG38" s="374">
        <f t="shared" si="41"/>
        <v>0</v>
      </c>
      <c r="AH38" s="374">
        <f t="shared" si="41"/>
        <v>0</v>
      </c>
      <c r="AI38" s="374">
        <f t="shared" si="41"/>
        <v>0</v>
      </c>
      <c r="AJ38" s="364"/>
      <c r="AK38" s="375">
        <f t="shared" ref="AK38:AT38" si="42">AK17-AK24-AK35</f>
        <v>44590.014628652803</v>
      </c>
      <c r="AL38" s="375">
        <f t="shared" si="42"/>
        <v>44590.014628652803</v>
      </c>
      <c r="AM38" s="375">
        <f t="shared" si="42"/>
        <v>44590.014628652803</v>
      </c>
      <c r="AN38" s="375">
        <f t="shared" si="42"/>
        <v>0</v>
      </c>
      <c r="AO38" s="375">
        <f t="shared" si="42"/>
        <v>0</v>
      </c>
      <c r="AP38" s="375">
        <f t="shared" si="42"/>
        <v>0</v>
      </c>
      <c r="AQ38" s="375">
        <f t="shared" si="42"/>
        <v>0</v>
      </c>
      <c r="AR38" s="375">
        <f t="shared" si="42"/>
        <v>0</v>
      </c>
      <c r="AS38" s="375">
        <f t="shared" si="42"/>
        <v>0</v>
      </c>
      <c r="AT38" s="375">
        <f t="shared" si="42"/>
        <v>0</v>
      </c>
    </row>
    <row r="39" spans="2:46" ht="15.75" thickTop="1" x14ac:dyDescent="0.25">
      <c r="B39" s="104"/>
      <c r="C39" s="104"/>
      <c r="D39" s="104"/>
      <c r="E39" s="104"/>
      <c r="F39" s="104"/>
      <c r="G39" s="104"/>
      <c r="H39" s="104"/>
      <c r="I39" s="104"/>
      <c r="J39" s="104"/>
      <c r="K39" s="104"/>
      <c r="L39" s="104"/>
      <c r="M39" s="364"/>
      <c r="N39" s="104"/>
      <c r="O39" s="104"/>
      <c r="P39" s="104"/>
      <c r="Q39" s="104"/>
      <c r="R39" s="104"/>
      <c r="S39" s="104"/>
      <c r="T39" s="104"/>
      <c r="U39" s="104"/>
      <c r="V39" s="104"/>
      <c r="W39" s="364"/>
      <c r="X39" s="364"/>
      <c r="Y39" s="104"/>
      <c r="Z39" s="104"/>
      <c r="AA39" s="104"/>
      <c r="AB39" s="104"/>
      <c r="AC39" s="104"/>
      <c r="AD39" s="104"/>
      <c r="AE39" s="104"/>
      <c r="AF39" s="104"/>
      <c r="AG39" s="104"/>
      <c r="AH39" s="104"/>
      <c r="AI39" s="104"/>
      <c r="AJ39" s="364"/>
      <c r="AK39" s="104"/>
      <c r="AL39" s="104"/>
      <c r="AM39" s="104"/>
      <c r="AN39" s="104"/>
      <c r="AO39" s="104"/>
      <c r="AP39" s="104"/>
      <c r="AQ39" s="104"/>
      <c r="AR39" s="104"/>
      <c r="AS39" s="104"/>
      <c r="AT39" s="104"/>
    </row>
    <row r="41" spans="2:46" x14ac:dyDescent="0.25">
      <c r="B41" s="104"/>
      <c r="C41" s="104"/>
      <c r="D41" s="364"/>
      <c r="E41" s="364"/>
      <c r="F41" s="364"/>
      <c r="G41" s="364"/>
      <c r="H41" s="364"/>
      <c r="I41" s="364"/>
      <c r="J41" s="364"/>
      <c r="K41" s="364"/>
      <c r="L41" s="364"/>
      <c r="M41" s="364"/>
      <c r="N41" s="364"/>
      <c r="O41" s="364"/>
      <c r="P41" s="364"/>
      <c r="Q41" s="364"/>
      <c r="R41" s="364"/>
      <c r="S41" s="364"/>
      <c r="T41" s="364"/>
      <c r="U41" s="364"/>
      <c r="V41" s="364"/>
      <c r="W41" s="364"/>
      <c r="X41" s="364"/>
      <c r="Y41" s="364"/>
      <c r="Z41" s="364"/>
      <c r="AA41" s="364"/>
      <c r="AB41" s="364"/>
      <c r="AC41" s="364"/>
      <c r="AD41" s="364"/>
      <c r="AE41" s="364"/>
      <c r="AF41" s="364"/>
      <c r="AG41" s="364"/>
      <c r="AH41" s="364"/>
      <c r="AI41" s="364"/>
      <c r="AJ41" s="364"/>
      <c r="AK41" s="364"/>
      <c r="AL41" s="364"/>
      <c r="AM41" s="364"/>
      <c r="AN41" s="364"/>
      <c r="AO41" s="364"/>
      <c r="AP41" s="364"/>
      <c r="AQ41" s="364"/>
      <c r="AR41" s="364"/>
      <c r="AS41" s="364"/>
      <c r="AT41" s="364"/>
    </row>
    <row r="42" spans="2:46" ht="23.25" x14ac:dyDescent="0.25">
      <c r="B42" s="104"/>
      <c r="C42" s="104"/>
      <c r="D42" s="370" t="s">
        <v>139</v>
      </c>
      <c r="E42" s="364"/>
      <c r="F42" s="364"/>
      <c r="G42" s="364"/>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64"/>
      <c r="AK42" s="364"/>
      <c r="AL42" s="364"/>
      <c r="AM42" s="364"/>
      <c r="AN42" s="364"/>
      <c r="AO42" s="364"/>
      <c r="AP42" s="364"/>
      <c r="AQ42" s="364"/>
      <c r="AR42" s="364"/>
      <c r="AS42" s="364"/>
      <c r="AT42" s="364"/>
    </row>
    <row r="43" spans="2:46" ht="15.75" thickBot="1" x14ac:dyDescent="0.3">
      <c r="B43" s="104"/>
      <c r="C43" s="365" t="s">
        <v>55</v>
      </c>
      <c r="D43" s="364"/>
      <c r="E43" s="364"/>
      <c r="F43" s="364"/>
      <c r="G43" s="364"/>
      <c r="H43" s="364"/>
      <c r="I43" s="364"/>
      <c r="J43" s="364"/>
      <c r="K43" s="364"/>
      <c r="L43" s="364"/>
      <c r="M43" s="364"/>
      <c r="N43" s="364"/>
      <c r="O43" s="364"/>
      <c r="P43" s="364"/>
      <c r="Q43" s="364"/>
      <c r="R43" s="364"/>
      <c r="S43" s="364"/>
      <c r="T43" s="364"/>
      <c r="U43" s="364"/>
      <c r="V43" s="364"/>
      <c r="W43" s="364"/>
      <c r="X43" s="364"/>
      <c r="Y43" s="364"/>
      <c r="Z43" s="364"/>
      <c r="AA43" s="364"/>
      <c r="AB43" s="364"/>
      <c r="AC43" s="364"/>
      <c r="AD43" s="364"/>
      <c r="AE43" s="364"/>
      <c r="AF43" s="364"/>
      <c r="AG43" s="364"/>
      <c r="AH43" s="364"/>
      <c r="AI43" s="364"/>
      <c r="AJ43" s="364"/>
      <c r="AK43" s="364"/>
      <c r="AL43" s="364"/>
      <c r="AM43" s="364"/>
      <c r="AN43" s="364"/>
      <c r="AO43" s="364"/>
      <c r="AP43" s="364"/>
      <c r="AQ43" s="364"/>
      <c r="AR43" s="364"/>
      <c r="AS43" s="364"/>
      <c r="AT43" s="364"/>
    </row>
    <row r="44" spans="2:46" ht="16.5" thickTop="1" thickBot="1" x14ac:dyDescent="0.3">
      <c r="B44" s="104"/>
      <c r="C44" s="104"/>
      <c r="D44" s="317" t="s">
        <v>133</v>
      </c>
      <c r="E44" s="317"/>
      <c r="F44" s="317"/>
      <c r="G44" s="317"/>
      <c r="H44" s="317"/>
      <c r="I44" s="317"/>
      <c r="J44" s="317"/>
      <c r="K44" s="317"/>
      <c r="L44" s="317"/>
      <c r="M44" s="317"/>
      <c r="N44" s="364"/>
      <c r="O44" s="317" t="s">
        <v>133</v>
      </c>
      <c r="P44" s="317"/>
      <c r="Q44" s="317"/>
      <c r="R44" s="317"/>
      <c r="S44" s="317"/>
      <c r="T44" s="317"/>
      <c r="U44" s="317"/>
      <c r="V44" s="317"/>
      <c r="W44" s="317"/>
      <c r="X44" s="317"/>
      <c r="Y44" s="364"/>
      <c r="Z44" s="317" t="s">
        <v>134</v>
      </c>
      <c r="AA44" s="317"/>
      <c r="AB44" s="317"/>
      <c r="AC44" s="317"/>
      <c r="AD44" s="317"/>
      <c r="AE44" s="317"/>
      <c r="AF44" s="317"/>
      <c r="AG44" s="317"/>
      <c r="AH44" s="317"/>
      <c r="AI44" s="317"/>
      <c r="AJ44" s="364"/>
      <c r="AK44" s="317" t="s">
        <v>134</v>
      </c>
      <c r="AL44" s="317"/>
      <c r="AM44" s="317"/>
      <c r="AN44" s="317"/>
      <c r="AO44" s="317"/>
      <c r="AP44" s="317"/>
      <c r="AQ44" s="317"/>
      <c r="AR44" s="317"/>
      <c r="AS44" s="317"/>
      <c r="AT44" s="317"/>
    </row>
    <row r="45" spans="2:46" ht="16.5" thickTop="1" thickBot="1" x14ac:dyDescent="0.3">
      <c r="B45" s="42"/>
      <c r="C45" s="365"/>
      <c r="D45" s="318" t="s">
        <v>124</v>
      </c>
      <c r="E45" s="318"/>
      <c r="F45" s="318"/>
      <c r="G45" s="318"/>
      <c r="H45" s="318"/>
      <c r="I45" s="318"/>
      <c r="J45" s="318"/>
      <c r="K45" s="318"/>
      <c r="L45" s="318"/>
      <c r="M45" s="318"/>
      <c r="N45" s="364"/>
      <c r="O45" s="318" t="s">
        <v>125</v>
      </c>
      <c r="P45" s="318"/>
      <c r="Q45" s="318"/>
      <c r="R45" s="318"/>
      <c r="S45" s="318"/>
      <c r="T45" s="318"/>
      <c r="U45" s="318"/>
      <c r="V45" s="318"/>
      <c r="W45" s="318"/>
      <c r="X45" s="318"/>
      <c r="Y45" s="364"/>
      <c r="Z45" s="318" t="s">
        <v>124</v>
      </c>
      <c r="AA45" s="318"/>
      <c r="AB45" s="318"/>
      <c r="AC45" s="318"/>
      <c r="AD45" s="318"/>
      <c r="AE45" s="318"/>
      <c r="AF45" s="318"/>
      <c r="AG45" s="318"/>
      <c r="AH45" s="318"/>
      <c r="AI45" s="318"/>
      <c r="AJ45" s="364"/>
      <c r="AK45" s="318" t="s">
        <v>125</v>
      </c>
      <c r="AL45" s="318"/>
      <c r="AM45" s="318"/>
      <c r="AN45" s="318"/>
      <c r="AO45" s="318"/>
      <c r="AP45" s="318"/>
      <c r="AQ45" s="318"/>
      <c r="AR45" s="318"/>
      <c r="AS45" s="318"/>
      <c r="AT45" s="318"/>
    </row>
    <row r="46" spans="2:46" ht="16.5" thickTop="1" thickBot="1" x14ac:dyDescent="0.3">
      <c r="B46" s="42"/>
      <c r="C46" s="365"/>
      <c r="D46" s="318">
        <f>D15</f>
        <v>2023</v>
      </c>
      <c r="E46" s="318">
        <f t="shared" ref="E46:M46" si="43">E15</f>
        <v>2024</v>
      </c>
      <c r="F46" s="318">
        <f t="shared" si="43"/>
        <v>2025</v>
      </c>
      <c r="G46" s="318" t="str">
        <f t="shared" si="43"/>
        <v>[leeg]</v>
      </c>
      <c r="H46" s="318" t="str">
        <f t="shared" si="43"/>
        <v>[leeg]</v>
      </c>
      <c r="I46" s="318" t="str">
        <f t="shared" si="43"/>
        <v>[leeg]</v>
      </c>
      <c r="J46" s="318" t="str">
        <f t="shared" si="43"/>
        <v>[leeg]</v>
      </c>
      <c r="K46" s="318" t="str">
        <f t="shared" si="43"/>
        <v>[leeg]</v>
      </c>
      <c r="L46" s="318" t="str">
        <f t="shared" si="43"/>
        <v>[leeg]</v>
      </c>
      <c r="M46" s="318" t="str">
        <f t="shared" si="43"/>
        <v>[leeg]</v>
      </c>
      <c r="N46" s="364"/>
      <c r="O46" s="318">
        <f>O15</f>
        <v>2023</v>
      </c>
      <c r="P46" s="318">
        <f t="shared" ref="P46:X46" si="44">P15</f>
        <v>2024</v>
      </c>
      <c r="Q46" s="318">
        <f t="shared" si="44"/>
        <v>2025</v>
      </c>
      <c r="R46" s="318" t="str">
        <f t="shared" si="44"/>
        <v>[leeg]</v>
      </c>
      <c r="S46" s="318" t="str">
        <f t="shared" si="44"/>
        <v>[leeg]</v>
      </c>
      <c r="T46" s="318" t="str">
        <f t="shared" si="44"/>
        <v>[leeg]</v>
      </c>
      <c r="U46" s="318" t="str">
        <f t="shared" si="44"/>
        <v>[leeg]</v>
      </c>
      <c r="V46" s="318" t="str">
        <f t="shared" si="44"/>
        <v>[leeg]</v>
      </c>
      <c r="W46" s="318" t="str">
        <f t="shared" si="44"/>
        <v>[leeg]</v>
      </c>
      <c r="X46" s="318" t="str">
        <f t="shared" si="44"/>
        <v>[leeg]</v>
      </c>
      <c r="Y46" s="364"/>
      <c r="Z46" s="318">
        <f t="shared" ref="Z46:AI46" si="45">O15</f>
        <v>2023</v>
      </c>
      <c r="AA46" s="318">
        <f t="shared" si="45"/>
        <v>2024</v>
      </c>
      <c r="AB46" s="318">
        <f t="shared" si="45"/>
        <v>2025</v>
      </c>
      <c r="AC46" s="318" t="str">
        <f t="shared" si="45"/>
        <v>[leeg]</v>
      </c>
      <c r="AD46" s="318" t="str">
        <f t="shared" si="45"/>
        <v>[leeg]</v>
      </c>
      <c r="AE46" s="318" t="str">
        <f t="shared" si="45"/>
        <v>[leeg]</v>
      </c>
      <c r="AF46" s="318" t="str">
        <f t="shared" si="45"/>
        <v>[leeg]</v>
      </c>
      <c r="AG46" s="318" t="str">
        <f t="shared" si="45"/>
        <v>[leeg]</v>
      </c>
      <c r="AH46" s="318" t="str">
        <f t="shared" si="45"/>
        <v>[leeg]</v>
      </c>
      <c r="AI46" s="318" t="str">
        <f t="shared" si="45"/>
        <v>[leeg]</v>
      </c>
      <c r="AJ46" s="364"/>
      <c r="AK46" s="318">
        <f>Z46</f>
        <v>2023</v>
      </c>
      <c r="AL46" s="318">
        <f t="shared" ref="AL46:AT46" si="46">AA46</f>
        <v>2024</v>
      </c>
      <c r="AM46" s="318">
        <f t="shared" si="46"/>
        <v>2025</v>
      </c>
      <c r="AN46" s="318" t="str">
        <f t="shared" si="46"/>
        <v>[leeg]</v>
      </c>
      <c r="AO46" s="318" t="str">
        <f t="shared" si="46"/>
        <v>[leeg]</v>
      </c>
      <c r="AP46" s="318" t="str">
        <f t="shared" si="46"/>
        <v>[leeg]</v>
      </c>
      <c r="AQ46" s="318" t="str">
        <f t="shared" si="46"/>
        <v>[leeg]</v>
      </c>
      <c r="AR46" s="318" t="str">
        <f t="shared" si="46"/>
        <v>[leeg]</v>
      </c>
      <c r="AS46" s="318" t="str">
        <f t="shared" si="46"/>
        <v>[leeg]</v>
      </c>
      <c r="AT46" s="318" t="str">
        <f t="shared" si="46"/>
        <v>[leeg]</v>
      </c>
    </row>
    <row r="47" spans="2:46" ht="16.5" thickTop="1" thickBot="1" x14ac:dyDescent="0.3">
      <c r="B47" s="42"/>
      <c r="C47" s="42" t="s">
        <v>62</v>
      </c>
      <c r="D47" s="366"/>
      <c r="E47" s="366"/>
      <c r="F47" s="366"/>
      <c r="G47" s="366"/>
      <c r="H47" s="366"/>
      <c r="I47" s="366"/>
      <c r="J47" s="366"/>
      <c r="K47" s="366"/>
      <c r="L47" s="366"/>
      <c r="M47" s="366"/>
      <c r="N47" s="364"/>
      <c r="O47" s="366"/>
      <c r="P47" s="366"/>
      <c r="Q47" s="366"/>
      <c r="R47" s="366"/>
      <c r="S47" s="366"/>
      <c r="T47" s="366"/>
      <c r="U47" s="366"/>
      <c r="V47" s="366"/>
      <c r="W47" s="366"/>
      <c r="X47" s="366"/>
      <c r="Y47" s="364"/>
      <c r="Z47" s="366"/>
      <c r="AA47" s="366"/>
      <c r="AB47" s="366"/>
      <c r="AC47" s="366"/>
      <c r="AD47" s="366"/>
      <c r="AE47" s="366"/>
      <c r="AF47" s="366"/>
      <c r="AG47" s="366"/>
      <c r="AH47" s="366"/>
      <c r="AI47" s="366"/>
      <c r="AJ47" s="364"/>
      <c r="AK47" s="366"/>
      <c r="AL47" s="366"/>
      <c r="AM47" s="366"/>
      <c r="AN47" s="366"/>
      <c r="AO47" s="366"/>
      <c r="AP47" s="366"/>
      <c r="AQ47" s="366"/>
      <c r="AR47" s="366"/>
      <c r="AS47" s="366"/>
      <c r="AT47" s="366"/>
    </row>
    <row r="48" spans="2:46" ht="16.5" thickTop="1" thickBot="1" x14ac:dyDescent="0.3">
      <c r="B48" s="42"/>
      <c r="C48" s="365" t="s">
        <v>143</v>
      </c>
      <c r="D48" s="374">
        <f>'Loonkosten uitgebreid'!H107</f>
        <v>2326.8000000000002</v>
      </c>
      <c r="E48" s="374">
        <f>IF(E$46&lt;&gt;"[leeg]",'Loonkosten uitgebreid'!I107,0)</f>
        <v>2439.06</v>
      </c>
      <c r="F48" s="374">
        <f>IF(F$46&lt;&gt;"[leeg]",'Loonkosten uitgebreid'!J107,0)</f>
        <v>2563.54</v>
      </c>
      <c r="G48" s="374">
        <f>IF(G$46&lt;&gt;"[leeg]",'Loonkosten uitgebreid'!K107,0)</f>
        <v>0</v>
      </c>
      <c r="H48" s="374">
        <f>IF(H$46&lt;&gt;"[leeg]",'Loonkosten uitgebreid'!L107,0)</f>
        <v>0</v>
      </c>
      <c r="I48" s="374">
        <f>IF(I$46&lt;&gt;"[leeg]",'Loonkosten uitgebreid'!M107,0)</f>
        <v>0</v>
      </c>
      <c r="J48" s="374">
        <f>IF(J$46&lt;&gt;"[leeg]",'Loonkosten uitgebreid'!N107,0)</f>
        <v>0</v>
      </c>
      <c r="K48" s="374">
        <f>IF(K$46&lt;&gt;"[leeg]",'Loonkosten uitgebreid'!O107,0)</f>
        <v>0</v>
      </c>
      <c r="L48" s="374">
        <f>IF(L$46&lt;&gt;"[leeg]",'Loonkosten uitgebreid'!P107,0)</f>
        <v>0</v>
      </c>
      <c r="M48" s="374">
        <f>IF(M$46&lt;&gt;"[leeg]",'Loonkosten uitgebreid'!Q107,0)</f>
        <v>0</v>
      </c>
      <c r="N48" s="364"/>
      <c r="O48" s="374">
        <f>'Loonkosten uitgebreid'!T107</f>
        <v>3240.93</v>
      </c>
      <c r="P48" s="374">
        <f>IF(P$46&lt;&gt;"[leeg]",'Loonkosten uitgebreid'!U107,0)</f>
        <v>3398.0999999999995</v>
      </c>
      <c r="Q48" s="374">
        <f>IF(Q$46&lt;&gt;"[leeg]",'Loonkosten uitgebreid'!V107,0)</f>
        <v>3572.35</v>
      </c>
      <c r="R48" s="374">
        <f>IF(R$46&lt;&gt;"[leeg]",'Loonkosten uitgebreid'!W107,0)</f>
        <v>0</v>
      </c>
      <c r="S48" s="374">
        <f>IF(S$46&lt;&gt;"[leeg]",'Loonkosten uitgebreid'!X107,0)</f>
        <v>0</v>
      </c>
      <c r="T48" s="374">
        <f>IF(T$46&lt;&gt;"[leeg]",'Loonkosten uitgebreid'!Y107,0)</f>
        <v>0</v>
      </c>
      <c r="U48" s="374">
        <f>IF(U$46&lt;&gt;"[leeg]",'Loonkosten uitgebreid'!Z107,0)</f>
        <v>0</v>
      </c>
      <c r="V48" s="374">
        <f>IF(V$46&lt;&gt;"[leeg]",'Loonkosten uitgebreid'!AA107,0)</f>
        <v>0</v>
      </c>
      <c r="W48" s="374">
        <f>IF(W$46&lt;&gt;"[leeg]",'Loonkosten uitgebreid'!AB107,0)</f>
        <v>0</v>
      </c>
      <c r="X48" s="374">
        <f>IF(X$46&lt;&gt;"[leeg]",'Loonkosten uitgebreid'!AC107,0)</f>
        <v>0</v>
      </c>
      <c r="Y48" s="364"/>
      <c r="Z48" s="374">
        <f>'Loonkosten uitgebreid'!AF107</f>
        <v>27921.599999999999</v>
      </c>
      <c r="AA48" s="374">
        <f>IF(AA$46&lt;&gt;"[leeg]",'Loonkosten uitgebreid'!AG107,0)</f>
        <v>29268.720000000001</v>
      </c>
      <c r="AB48" s="374">
        <f>IF(AB$46&lt;&gt;"[leeg]",'Loonkosten uitgebreid'!AH107,0)</f>
        <v>30762.48</v>
      </c>
      <c r="AC48" s="374">
        <f>IF(AC$46&lt;&gt;"[leeg]",'Loonkosten uitgebreid'!AI107,0)</f>
        <v>0</v>
      </c>
      <c r="AD48" s="374">
        <f>IF(AD$46&lt;&gt;"[leeg]",'Loonkosten uitgebreid'!AJ107,0)</f>
        <v>0</v>
      </c>
      <c r="AE48" s="374">
        <f>IF(AE$46&lt;&gt;"[leeg]",'Loonkosten uitgebreid'!AK107,0)</f>
        <v>0</v>
      </c>
      <c r="AF48" s="374">
        <f>IF(AF$46&lt;&gt;"[leeg]",'Loonkosten uitgebreid'!AL107,0)</f>
        <v>0</v>
      </c>
      <c r="AG48" s="374">
        <f>IF(AG$46&lt;&gt;"[leeg]",'Loonkosten uitgebreid'!AM107,0)</f>
        <v>0</v>
      </c>
      <c r="AH48" s="374">
        <f>IF(AH$46&lt;&gt;"[leeg]",'Loonkosten uitgebreid'!AN107,0)</f>
        <v>0</v>
      </c>
      <c r="AI48" s="374">
        <f>IF(AI$46&lt;&gt;"[leeg]",'Loonkosten uitgebreid'!AO107,0)</f>
        <v>0</v>
      </c>
      <c r="AJ48" s="364"/>
      <c r="AK48" s="374">
        <f>'Loonkosten uitgebreid'!AR107</f>
        <v>38891.159999999996</v>
      </c>
      <c r="AL48" s="374">
        <f>IF(AL46&lt;&gt;"[leeg]",'Loonkosten uitgebreid'!AS107,0)</f>
        <v>40777.199999999997</v>
      </c>
      <c r="AM48" s="374">
        <f>IF(AM46&lt;&gt;"[leeg]",'Loonkosten uitgebreid'!AT107,0)</f>
        <v>42868.2</v>
      </c>
      <c r="AN48" s="374">
        <f>IF(AN46&lt;&gt;"[leeg]",'Loonkosten uitgebreid'!AU107,0)</f>
        <v>0</v>
      </c>
      <c r="AO48" s="374">
        <f>IF(AO46&lt;&gt;"[leeg]",'Loonkosten uitgebreid'!AV107,0)</f>
        <v>0</v>
      </c>
      <c r="AP48" s="374">
        <f>IF(AP46&lt;&gt;"[leeg]",'Loonkosten uitgebreid'!AW107,0)</f>
        <v>0</v>
      </c>
      <c r="AQ48" s="374">
        <f>IF(AQ46&lt;&gt;"[leeg]",'Loonkosten uitgebreid'!AX107,0)</f>
        <v>0</v>
      </c>
      <c r="AR48" s="374">
        <f>IF(AR46&lt;&gt;"[leeg]",'Loonkosten uitgebreid'!AY107,0)</f>
        <v>0</v>
      </c>
      <c r="AS48" s="374">
        <f>IF(AS46&lt;&gt;"[leeg]",'Loonkosten uitgebreid'!AZ107,0)</f>
        <v>0</v>
      </c>
      <c r="AT48" s="374">
        <f>IF(AT46&lt;&gt;"[leeg]",'Loonkosten uitgebreid'!BA107,0)</f>
        <v>0</v>
      </c>
    </row>
    <row r="49" spans="2:46" ht="16.5" thickTop="1" thickBot="1" x14ac:dyDescent="0.3">
      <c r="B49" s="42"/>
      <c r="C49" s="42" t="s">
        <v>15</v>
      </c>
      <c r="D49" s="374">
        <f>'Loonkosten uitgebreid'!H108</f>
        <v>2326.7999999999997</v>
      </c>
      <c r="E49" s="374">
        <f>IF(E$46&lt;&gt;"[leeg]",'Loonkosten uitgebreid'!I108,0)</f>
        <v>2439.06</v>
      </c>
      <c r="F49" s="374">
        <f>IF(F$46&lt;&gt;"[leeg]",'Loonkosten uitgebreid'!J108,0)</f>
        <v>2563.54</v>
      </c>
      <c r="G49" s="374">
        <f>IF(G$46&lt;&gt;"[leeg]",'Loonkosten uitgebreid'!K108,0)</f>
        <v>0</v>
      </c>
      <c r="H49" s="374">
        <f>IF(H$46&lt;&gt;"[leeg]",'Loonkosten uitgebreid'!L108,0)</f>
        <v>0</v>
      </c>
      <c r="I49" s="374">
        <f>IF(I$46&lt;&gt;"[leeg]",'Loonkosten uitgebreid'!M108,0)</f>
        <v>0</v>
      </c>
      <c r="J49" s="374">
        <f>IF(J$46&lt;&gt;"[leeg]",'Loonkosten uitgebreid'!N108,0)</f>
        <v>0</v>
      </c>
      <c r="K49" s="374">
        <f>IF(K$46&lt;&gt;"[leeg]",'Loonkosten uitgebreid'!O108,0)</f>
        <v>0</v>
      </c>
      <c r="L49" s="374">
        <f>IF(L$46&lt;&gt;"[leeg]",'Loonkosten uitgebreid'!P108,0)</f>
        <v>0</v>
      </c>
      <c r="M49" s="374">
        <f>IF(M$46&lt;&gt;"[leeg]",'Loonkosten uitgebreid'!Q108,0)</f>
        <v>0</v>
      </c>
      <c r="N49" s="364"/>
      <c r="O49" s="374">
        <f>'Loonkosten uitgebreid'!T108</f>
        <v>3240.93</v>
      </c>
      <c r="P49" s="374">
        <f>IF(P$46&lt;&gt;"[leeg]",'Loonkosten uitgebreid'!U108,0)</f>
        <v>3398.1</v>
      </c>
      <c r="Q49" s="374">
        <f>IF(Q$46&lt;&gt;"[leeg]",'Loonkosten uitgebreid'!V108,0)</f>
        <v>3572.35</v>
      </c>
      <c r="R49" s="374">
        <f>IF(R$46&lt;&gt;"[leeg]",'Loonkosten uitgebreid'!W108,0)</f>
        <v>0</v>
      </c>
      <c r="S49" s="374">
        <f>IF(S$46&lt;&gt;"[leeg]",'Loonkosten uitgebreid'!X108,0)</f>
        <v>0</v>
      </c>
      <c r="T49" s="374">
        <f>IF(T$46&lt;&gt;"[leeg]",'Loonkosten uitgebreid'!Y108,0)</f>
        <v>0</v>
      </c>
      <c r="U49" s="374">
        <f>IF(U$46&lt;&gt;"[leeg]",'Loonkosten uitgebreid'!Z108,0)</f>
        <v>0</v>
      </c>
      <c r="V49" s="374">
        <f>IF(V$46&lt;&gt;"[leeg]",'Loonkosten uitgebreid'!AA108,0)</f>
        <v>0</v>
      </c>
      <c r="W49" s="374">
        <f>IF(W$46&lt;&gt;"[leeg]",'Loonkosten uitgebreid'!AB108,0)</f>
        <v>0</v>
      </c>
      <c r="X49" s="374">
        <f>IF(X$46&lt;&gt;"[leeg]",'Loonkosten uitgebreid'!AC108,0)</f>
        <v>0</v>
      </c>
      <c r="Y49" s="364"/>
      <c r="Z49" s="374">
        <f>'Loonkosten uitgebreid'!AF108</f>
        <v>27921.599999999999</v>
      </c>
      <c r="AA49" s="374">
        <f>IF(AA$46&lt;&gt;"[leeg]",'Loonkosten uitgebreid'!AG108,0)</f>
        <v>29268.720000000001</v>
      </c>
      <c r="AB49" s="374">
        <f>IF(AB$46&lt;&gt;"[leeg]",'Loonkosten uitgebreid'!AH108,0)</f>
        <v>30762.48</v>
      </c>
      <c r="AC49" s="374">
        <f>IF(AC$46&lt;&gt;"[leeg]",'Loonkosten uitgebreid'!AI108,0)</f>
        <v>0</v>
      </c>
      <c r="AD49" s="374">
        <f>IF(AD$46&lt;&gt;"[leeg]",'Loonkosten uitgebreid'!AJ108,0)</f>
        <v>0</v>
      </c>
      <c r="AE49" s="374">
        <f>IF(AE$46&lt;&gt;"[leeg]",'Loonkosten uitgebreid'!AK108,0)</f>
        <v>0</v>
      </c>
      <c r="AF49" s="374">
        <f>IF(AF$46&lt;&gt;"[leeg]",'Loonkosten uitgebreid'!AL108,0)</f>
        <v>0</v>
      </c>
      <c r="AG49" s="374">
        <f>IF(AG$46&lt;&gt;"[leeg]",'Loonkosten uitgebreid'!AM108,0)</f>
        <v>0</v>
      </c>
      <c r="AH49" s="374">
        <f>IF(AH$46&lt;&gt;"[leeg]",'Loonkosten uitgebreid'!AN108,0)</f>
        <v>0</v>
      </c>
      <c r="AI49" s="374">
        <f>IF(AI$46&lt;&gt;"[leeg]",'Loonkosten uitgebreid'!AO108,0)</f>
        <v>0</v>
      </c>
      <c r="AJ49" s="364"/>
      <c r="AK49" s="374">
        <f>'Loonkosten uitgebreid'!AR108</f>
        <v>38891.159999999996</v>
      </c>
      <c r="AL49" s="374">
        <f>IF(AL46&lt;&gt;"[leeg]",'Loonkosten uitgebreid'!AS108,0)</f>
        <v>40777.199999999997</v>
      </c>
      <c r="AM49" s="374">
        <f>IF(AM46&lt;&gt;"[leeg]",'Loonkosten uitgebreid'!AT108,0)</f>
        <v>42868.2</v>
      </c>
      <c r="AN49" s="374">
        <f>IF(AN46&lt;&gt;"[leeg]",'Loonkosten uitgebreid'!AU108,0)</f>
        <v>0</v>
      </c>
      <c r="AO49" s="374">
        <f>IF(AO46&lt;&gt;"[leeg]",'Loonkosten uitgebreid'!AV108,0)</f>
        <v>0</v>
      </c>
      <c r="AP49" s="374">
        <f>IF(AP46&lt;&gt;"[leeg]",'Loonkosten uitgebreid'!AW108,0)</f>
        <v>0</v>
      </c>
      <c r="AQ49" s="374">
        <f>IF(AQ46&lt;&gt;"[leeg]",'Loonkosten uitgebreid'!AX108,0)</f>
        <v>0</v>
      </c>
      <c r="AR49" s="374">
        <f>IF(AR46&lt;&gt;"[leeg]",'Loonkosten uitgebreid'!AY108,0)</f>
        <v>0</v>
      </c>
      <c r="AS49" s="374">
        <f>IF(AS46&lt;&gt;"[leeg]",'Loonkosten uitgebreid'!AZ108,0)</f>
        <v>0</v>
      </c>
      <c r="AT49" s="374">
        <f>IF(AT46&lt;&gt;"[leeg]",'Loonkosten uitgebreid'!BA108,0)</f>
        <v>0</v>
      </c>
    </row>
    <row r="50" spans="2:46" ht="15.75" thickTop="1" x14ac:dyDescent="0.25">
      <c r="B50" s="42"/>
      <c r="C50" s="42"/>
      <c r="D50" s="365"/>
      <c r="E50" s="365"/>
      <c r="F50" s="365"/>
      <c r="G50" s="365"/>
      <c r="H50" s="365"/>
      <c r="I50" s="365"/>
      <c r="J50" s="365"/>
      <c r="K50" s="365"/>
      <c r="L50" s="365"/>
      <c r="M50" s="365"/>
      <c r="N50" s="364"/>
      <c r="O50" s="365"/>
      <c r="P50" s="365"/>
      <c r="Q50" s="365"/>
      <c r="R50" s="365"/>
      <c r="S50" s="365"/>
      <c r="T50" s="365"/>
      <c r="U50" s="365"/>
      <c r="V50" s="365"/>
      <c r="W50" s="365"/>
      <c r="X50" s="365"/>
      <c r="Y50" s="364"/>
      <c r="Z50" s="365"/>
      <c r="AA50" s="365"/>
      <c r="AB50" s="365"/>
      <c r="AC50" s="365"/>
      <c r="AD50" s="365"/>
      <c r="AE50" s="365"/>
      <c r="AF50" s="365"/>
      <c r="AG50" s="365"/>
      <c r="AH50" s="365"/>
      <c r="AI50" s="365"/>
      <c r="AJ50" s="364"/>
      <c r="AK50" s="365"/>
      <c r="AL50" s="365"/>
      <c r="AM50" s="365"/>
      <c r="AN50" s="365"/>
      <c r="AO50" s="365"/>
      <c r="AP50" s="365"/>
      <c r="AQ50" s="365"/>
      <c r="AR50" s="365"/>
      <c r="AS50" s="365"/>
      <c r="AT50" s="365"/>
    </row>
    <row r="51" spans="2:46" ht="15.75" thickBot="1" x14ac:dyDescent="0.3">
      <c r="B51" s="42"/>
      <c r="C51" s="42" t="s">
        <v>145</v>
      </c>
      <c r="D51" s="365"/>
      <c r="E51" s="365"/>
      <c r="F51" s="365"/>
      <c r="G51" s="365"/>
      <c r="H51" s="365"/>
      <c r="I51" s="365"/>
      <c r="J51" s="365"/>
      <c r="K51" s="365"/>
      <c r="L51" s="365"/>
      <c r="M51" s="365"/>
      <c r="N51" s="364"/>
      <c r="O51" s="365"/>
      <c r="P51" s="365"/>
      <c r="Q51" s="365"/>
      <c r="R51" s="365"/>
      <c r="S51" s="365"/>
      <c r="T51" s="365"/>
      <c r="U51" s="365"/>
      <c r="V51" s="365"/>
      <c r="W51" s="365"/>
      <c r="X51" s="365"/>
      <c r="Y51" s="364"/>
      <c r="Z51" s="365"/>
      <c r="AA51" s="365"/>
      <c r="AB51" s="365"/>
      <c r="AC51" s="365"/>
      <c r="AD51" s="365"/>
      <c r="AE51" s="365"/>
      <c r="AF51" s="365"/>
      <c r="AG51" s="365"/>
      <c r="AH51" s="365"/>
      <c r="AI51" s="365"/>
      <c r="AJ51" s="364"/>
      <c r="AK51" s="365"/>
      <c r="AL51" s="365"/>
      <c r="AM51" s="365"/>
      <c r="AN51" s="365"/>
      <c r="AO51" s="365"/>
      <c r="AP51" s="365"/>
      <c r="AQ51" s="365"/>
      <c r="AR51" s="365"/>
      <c r="AS51" s="365"/>
      <c r="AT51" s="365"/>
    </row>
    <row r="52" spans="2:46" ht="16.5" thickTop="1" thickBot="1" x14ac:dyDescent="0.3">
      <c r="B52" s="42"/>
      <c r="C52" s="104" t="s">
        <v>9</v>
      </c>
      <c r="D52" s="374">
        <f>IF('Loonkosten uitgebreid'!AF$108/'Loonkosten uitgebreid'!H$97&lt;'Tabellen PO-Raad'!$E$9,0,(+'Loonkosten uitgebreid'!AF$108-'Tabellen PO-Raad'!$E$9*'Loonkosten uitgebreid'!H$97)/12*'Tabellen PO-Raad'!$D$9)</f>
        <v>137.73253499999998</v>
      </c>
      <c r="E52" s="374">
        <f>IF(E46&lt;&gt;"[leeg]",IF('Loonkosten uitgebreid'!AF$108/'Loonkosten uitgebreid'!H$97&lt;'Tabellen PO-Raad'!$E$9,0,(+'Loonkosten uitgebreid'!AF$108-'Tabellen PO-Raad'!$E$9*'Loonkosten uitgebreid'!H$97)/12*'Tabellen PO-Raad'!$D$9),0)</f>
        <v>137.73253499999998</v>
      </c>
      <c r="F52" s="374">
        <f>IF(F46&lt;&gt;"[leeg]",IF('Loonkosten uitgebreid'!AG$108/'Loonkosten uitgebreid'!I$97&lt;'Tabellen PO-Raad'!$E$9,0,(+'Loonkosten uitgebreid'!AG$108-'Tabellen PO-Raad'!$E$9*'Loonkosten uitgebreid'!I$97)/12*'Tabellen PO-Raad'!$D$9),0)</f>
        <v>147.12869700000002</v>
      </c>
      <c r="G52" s="374">
        <f>IF(G46&lt;&gt;"[leeg]",IF('Loonkosten uitgebreid'!AH$108/'Loonkosten uitgebreid'!J$97&lt;'Tabellen PO-Raad'!$E$9,0,(+'Loonkosten uitgebreid'!AH$108-'Tabellen PO-Raad'!$E$9*'Loonkosten uitgebreid'!J$97)/12*'Tabellen PO-Raad'!$D$9),0)</f>
        <v>0</v>
      </c>
      <c r="H52" s="374">
        <f>IF(H46&lt;&gt;"[leeg]",IF('Loonkosten uitgebreid'!AI$108/'Loonkosten uitgebreid'!K$97&lt;'Tabellen PO-Raad'!$E$9,0,(+'Loonkosten uitgebreid'!AI$108-'Tabellen PO-Raad'!$E$9*'Loonkosten uitgebreid'!K$97)/12*'Tabellen PO-Raad'!$D$9),0)</f>
        <v>0</v>
      </c>
      <c r="I52" s="374">
        <f>IF(I46&lt;&gt;"[leeg]",IF('Loonkosten uitgebreid'!AJ$108/'Loonkosten uitgebreid'!L$97&lt;'Tabellen PO-Raad'!$E$9,0,(+'Loonkosten uitgebreid'!AJ$108-'Tabellen PO-Raad'!$E$9*'Loonkosten uitgebreid'!L$97)/12*'Tabellen PO-Raad'!$D$9),0)</f>
        <v>0</v>
      </c>
      <c r="J52" s="374">
        <f>IF(J46&lt;&gt;"[leeg]",IF('Loonkosten uitgebreid'!AK$108/'Loonkosten uitgebreid'!M$97&lt;'Tabellen PO-Raad'!$E$9,0,(+'Loonkosten uitgebreid'!AK$108-'Tabellen PO-Raad'!$E$9*'Loonkosten uitgebreid'!M$97)/12*'Tabellen PO-Raad'!$D$9),0)</f>
        <v>0</v>
      </c>
      <c r="K52" s="374">
        <f>IF(K46&lt;&gt;"[leeg]",IF('Loonkosten uitgebreid'!AL$108/'Loonkosten uitgebreid'!N$97&lt;'Tabellen PO-Raad'!$E$9,0,(+'Loonkosten uitgebreid'!AL$108-'Tabellen PO-Raad'!$E$9*'Loonkosten uitgebreid'!N$97)/12*'Tabellen PO-Raad'!$D$9),0)</f>
        <v>0</v>
      </c>
      <c r="L52" s="374">
        <f>IF(L46&lt;&gt;"[leeg]",IF('Loonkosten uitgebreid'!AM$108/'Loonkosten uitgebreid'!O$97&lt;'Tabellen PO-Raad'!$E$9,0,(+'Loonkosten uitgebreid'!AM$108-'Tabellen PO-Raad'!$E$9*'Loonkosten uitgebreid'!O$97)/12*'Tabellen PO-Raad'!$D$9),0)</f>
        <v>0</v>
      </c>
      <c r="M52" s="374">
        <f>IF(M46&lt;&gt;"[leeg]",IF('Loonkosten uitgebreid'!AN$108/'Loonkosten uitgebreid'!P$97&lt;'Tabellen PO-Raad'!$E$9,0,(+'Loonkosten uitgebreid'!AN$108-'Tabellen PO-Raad'!$E$9*'Loonkosten uitgebreid'!P$97)/12*'Tabellen PO-Raad'!$D$9),0)</f>
        <v>0</v>
      </c>
      <c r="N52" s="364"/>
      <c r="O52" s="374">
        <f>IF('Loonkosten uitgebreid'!AR$108/'Loonkosten uitgebreid'!T$97&lt;'Tabellen PO-Raad'!$E$9,0,(+'Loonkosten uitgebreid'!AR$108-'Tabellen PO-Raad'!$E$9*'Loonkosten uitgebreid'!T$97)/12*'Tabellen PO-Raad'!$D$9)</f>
        <v>191.43696599999998</v>
      </c>
      <c r="P52" s="374">
        <f>IF(P46&lt;&gt;"[leeg]",IF('Loonkosten uitgebreid'!AS$108/'Loonkosten uitgebreid'!U$97&lt;'Tabellen PO-Raad'!$E$9,0,(+'Loonkosten uitgebreid'!AS$108-'Tabellen PO-Raad'!$E$9*'Loonkosten uitgebreid'!U$97)/12*'Tabellen PO-Raad'!$D$9),0)</f>
        <v>204.59209499999997</v>
      </c>
      <c r="Q52" s="374">
        <f>IF(Q46&lt;&gt;"[leeg]",IF('Loonkosten uitgebreid'!AR$108/'Loonkosten uitgebreid'!T$97&lt;'Tabellen PO-Raad'!$E$9,0,(+'Loonkosten uitgebreid'!AR$108-'Tabellen PO-Raad'!$E$9*'Loonkosten uitgebreid'!T$97)/12*'Tabellen PO-Raad'!$D$9),0)</f>
        <v>191.43696599999998</v>
      </c>
      <c r="R52" s="374">
        <f>IF(R46&lt;&gt;"[leeg]",IF('Loonkosten uitgebreid'!AS$108/'Loonkosten uitgebreid'!U$97&lt;'Tabellen PO-Raad'!$E$9,0,(+'Loonkosten uitgebreid'!AS$108-'Tabellen PO-Raad'!$E$9*'Loonkosten uitgebreid'!U$97)/12*'Tabellen PO-Raad'!$D$9),0)</f>
        <v>0</v>
      </c>
      <c r="S52" s="374">
        <f>IF(S46&lt;&gt;"[leeg]",IF('Loonkosten uitgebreid'!AT$108/'Loonkosten uitgebreid'!V$97&lt;'Tabellen PO-Raad'!$E$9,0,(+'Loonkosten uitgebreid'!AT$108-'Tabellen PO-Raad'!$E$9*'Loonkosten uitgebreid'!V$97)/12*'Tabellen PO-Raad'!$D$9),0)</f>
        <v>0</v>
      </c>
      <c r="T52" s="374">
        <f>IF(T46&lt;&gt;"[leeg]",IF('Loonkosten uitgebreid'!AU$108/'Loonkosten uitgebreid'!W$97&lt;'Tabellen PO-Raad'!$E$9,0,(+'Loonkosten uitgebreid'!AU$108-'Tabellen PO-Raad'!$E$9*'Loonkosten uitgebreid'!W$97)/12*'Tabellen PO-Raad'!$D$9),0)</f>
        <v>0</v>
      </c>
      <c r="U52" s="374">
        <f>IF(U46&lt;&gt;"[leeg]",IF('Loonkosten uitgebreid'!AV$108/'Loonkosten uitgebreid'!X$97&lt;'Tabellen PO-Raad'!$E$9,0,(+'Loonkosten uitgebreid'!AV$108-'Tabellen PO-Raad'!$E$9*'Loonkosten uitgebreid'!X$97)/12*'Tabellen PO-Raad'!$D$9),0)</f>
        <v>0</v>
      </c>
      <c r="V52" s="374">
        <f>IF(V46&lt;&gt;"[leeg]",IF('Loonkosten uitgebreid'!AW$108/'Loonkosten uitgebreid'!Y$97&lt;'Tabellen PO-Raad'!$E$9,0,(+'Loonkosten uitgebreid'!AW$108-'Tabellen PO-Raad'!$E$9*'Loonkosten uitgebreid'!Y$97)/12*'Tabellen PO-Raad'!$D$9),0)</f>
        <v>0</v>
      </c>
      <c r="W52" s="374">
        <f>IF(W46&lt;&gt;"[leeg]",IF('Loonkosten uitgebreid'!AX$108/'Loonkosten uitgebreid'!Z$97&lt;'Tabellen PO-Raad'!$E$9,0,(+'Loonkosten uitgebreid'!AX$108-'Tabellen PO-Raad'!$E$9*'Loonkosten uitgebreid'!Z$97)/12*'Tabellen PO-Raad'!$D$9),0)</f>
        <v>0</v>
      </c>
      <c r="X52" s="374">
        <f>IF(X46&lt;&gt;"[leeg]",IF('Loonkosten uitgebreid'!AY$108/'Loonkosten uitgebreid'!AA$97&lt;'Tabellen PO-Raad'!$E$9,0,(+'Loonkosten uitgebreid'!AY$108-'Tabellen PO-Raad'!$E$9*'Loonkosten uitgebreid'!AA$97)/12*'Tabellen PO-Raad'!$D$9),0)</f>
        <v>0</v>
      </c>
      <c r="Y52" s="364"/>
      <c r="Z52" s="374">
        <f>D52*12</f>
        <v>1652.7904199999998</v>
      </c>
      <c r="AA52" s="374">
        <f t="shared" ref="AA52:AI54" si="47">E52*12</f>
        <v>1652.7904199999998</v>
      </c>
      <c r="AB52" s="374">
        <f t="shared" si="47"/>
        <v>1765.5443640000003</v>
      </c>
      <c r="AC52" s="374">
        <f t="shared" si="47"/>
        <v>0</v>
      </c>
      <c r="AD52" s="374">
        <f t="shared" si="47"/>
        <v>0</v>
      </c>
      <c r="AE52" s="374">
        <f t="shared" si="47"/>
        <v>0</v>
      </c>
      <c r="AF52" s="374">
        <f t="shared" si="47"/>
        <v>0</v>
      </c>
      <c r="AG52" s="374">
        <f t="shared" si="47"/>
        <v>0</v>
      </c>
      <c r="AH52" s="374">
        <f t="shared" si="47"/>
        <v>0</v>
      </c>
      <c r="AI52" s="374">
        <f t="shared" si="47"/>
        <v>0</v>
      </c>
      <c r="AJ52" s="364"/>
      <c r="AK52" s="374">
        <f>O52*12</f>
        <v>2297.2435919999998</v>
      </c>
      <c r="AL52" s="374">
        <f t="shared" ref="AL52:AT54" si="48">P52*12</f>
        <v>2455.1051399999997</v>
      </c>
      <c r="AM52" s="374">
        <f t="shared" si="48"/>
        <v>2297.2435919999998</v>
      </c>
      <c r="AN52" s="374">
        <f t="shared" si="48"/>
        <v>0</v>
      </c>
      <c r="AO52" s="374">
        <f t="shared" si="48"/>
        <v>0</v>
      </c>
      <c r="AP52" s="374">
        <f t="shared" si="48"/>
        <v>0</v>
      </c>
      <c r="AQ52" s="374">
        <f t="shared" si="48"/>
        <v>0</v>
      </c>
      <c r="AR52" s="374">
        <f t="shared" si="48"/>
        <v>0</v>
      </c>
      <c r="AS52" s="374">
        <f t="shared" si="48"/>
        <v>0</v>
      </c>
      <c r="AT52" s="374">
        <f t="shared" si="48"/>
        <v>0</v>
      </c>
    </row>
    <row r="53" spans="2:46" ht="16.5" thickTop="1" thickBot="1" x14ac:dyDescent="0.3">
      <c r="B53" s="367"/>
      <c r="C53" s="104" t="s">
        <v>36</v>
      </c>
      <c r="D53" s="374">
        <f>IF('Loonkosten uitgebreid'!AF$108/'Loonkosten uitgebreid'!H$97&lt;'Tabellen PO-Raad'!$E$10,0,(+'Loonkosten uitgebreid'!AF$108-'Tabellen PO-Raad'!$E$10*'Loonkosten uitgebreid'!H$97)/12*'Tabellen PO-Raad'!$D$10)</f>
        <v>3.0793199999999996</v>
      </c>
      <c r="E53" s="374">
        <f>IF(E$46&lt;&gt;"[leeg]",IF('Loonkosten uitgebreid'!AF$108/'Loonkosten uitgebreid'!H$97&lt;'Tabellen PO-Raad'!$E$10,0,(+'Loonkosten uitgebreid'!AF$108-'Tabellen PO-Raad'!$E$10*'Loonkosten uitgebreid'!H$97)/12*'Tabellen PO-Raad'!$D$10),0)</f>
        <v>3.0793199999999996</v>
      </c>
      <c r="F53" s="374">
        <f>IF(F$46&lt;&gt;"[leeg]",IF('Loonkosten uitgebreid'!AG$108/'Loonkosten uitgebreid'!I$97&lt;'Tabellen PO-Raad'!$E$10,0,(+'Loonkosten uitgebreid'!AG$108-'Tabellen PO-Raad'!$E$10*'Loonkosten uitgebreid'!I$97)/12*'Tabellen PO-Raad'!$D$10),0)</f>
        <v>3.3487439999999999</v>
      </c>
      <c r="G53" s="374">
        <f>IF(G$46&lt;&gt;"[leeg]",IF('Loonkosten uitgebreid'!AH$108/'Loonkosten uitgebreid'!J$97&lt;'Tabellen PO-Raad'!$E$10,0,(+'Loonkosten uitgebreid'!AH$108-'Tabellen PO-Raad'!$E$10*'Loonkosten uitgebreid'!J$97)/12*'Tabellen PO-Raad'!$D$10),0)</f>
        <v>0</v>
      </c>
      <c r="H53" s="374">
        <f>IF(H$46&lt;&gt;"[leeg]",IF('Loonkosten uitgebreid'!AI$108/'Loonkosten uitgebreid'!K$97&lt;'Tabellen PO-Raad'!$E$10,0,(+'Loonkosten uitgebreid'!AI$108-'Tabellen PO-Raad'!$E$10*'Loonkosten uitgebreid'!K$97)/12*'Tabellen PO-Raad'!$D$10),0)</f>
        <v>0</v>
      </c>
      <c r="I53" s="374">
        <f>IF(I$46&lt;&gt;"[leeg]",IF('Loonkosten uitgebreid'!AJ$108/'Loonkosten uitgebreid'!L$97&lt;'Tabellen PO-Raad'!$E$10,0,(+'Loonkosten uitgebreid'!AJ$108-'Tabellen PO-Raad'!$E$10*'Loonkosten uitgebreid'!L$97)/12*'Tabellen PO-Raad'!$D$10),0)</f>
        <v>0</v>
      </c>
      <c r="J53" s="374">
        <f>IF(J$46&lt;&gt;"[leeg]",IF('Loonkosten uitgebreid'!AK$108/'Loonkosten uitgebreid'!M$97&lt;'Tabellen PO-Raad'!$E$10,0,(+'Loonkosten uitgebreid'!AK$108-'Tabellen PO-Raad'!$E$10*'Loonkosten uitgebreid'!M$97)/12*'Tabellen PO-Raad'!$D$10),0)</f>
        <v>0</v>
      </c>
      <c r="K53" s="374">
        <f>IF(K$46&lt;&gt;"[leeg]",IF('Loonkosten uitgebreid'!AL$108/'Loonkosten uitgebreid'!N$97&lt;'Tabellen PO-Raad'!$E$10,0,(+'Loonkosten uitgebreid'!AL$108-'Tabellen PO-Raad'!$E$10*'Loonkosten uitgebreid'!N$97)/12*'Tabellen PO-Raad'!$D$10),0)</f>
        <v>0</v>
      </c>
      <c r="L53" s="374">
        <f>IF(L$46&lt;&gt;"[leeg]",IF('Loonkosten uitgebreid'!AM$108/'Loonkosten uitgebreid'!O$97&lt;'Tabellen PO-Raad'!$E$10,0,(+'Loonkosten uitgebreid'!AM$108-'Tabellen PO-Raad'!$E$10*'Loonkosten uitgebreid'!O$97)/12*'Tabellen PO-Raad'!$D$10),0)</f>
        <v>0</v>
      </c>
      <c r="M53" s="374">
        <f>IF(M$46&lt;&gt;"[leeg]",IF('Loonkosten uitgebreid'!AN$108/'Loonkosten uitgebreid'!P$97&lt;'Tabellen PO-Raad'!$E$10,0,(+'Loonkosten uitgebreid'!AN$108-'Tabellen PO-Raad'!$E$10*'Loonkosten uitgebreid'!P$97)/12*'Tabellen PO-Raad'!$D$10),0)</f>
        <v>0</v>
      </c>
      <c r="N53" s="364"/>
      <c r="O53" s="374">
        <f>IF('Loonkosten uitgebreid'!AR$108/'Loonkosten uitgebreid'!T$97&lt;'Tabellen PO-Raad'!$E$10,0,(+'Loonkosten uitgebreid'!AR$108-'Tabellen PO-Raad'!$E$10*'Loonkosten uitgebreid'!T$97)/12*'Tabellen PO-Raad'!$D$10)</f>
        <v>4.2712319999999986</v>
      </c>
      <c r="P53" s="374">
        <f>IF(P46&lt;&gt;"[leeg]",IF('Loonkosten uitgebreid'!AS$108/'Loonkosten uitgebreid'!U$97&lt;'Tabellen PO-Raad'!$E$10,0,(+'Loonkosten uitgebreid'!AS$108-'Tabellen PO-Raad'!$E$10*'Loonkosten uitgebreid'!U$97)/12*'Tabellen PO-Raad'!$D$10),0)</f>
        <v>4.648439999999999</v>
      </c>
      <c r="Q53" s="374">
        <f>IF(Q$46&lt;&gt;"[leeg]",IF('Loonkosten uitgebreid'!AR$108/'Loonkosten uitgebreid'!T$97&lt;'Tabellen PO-Raad'!$E$10,0,(+'Loonkosten uitgebreid'!AR$108-'Tabellen PO-Raad'!$E$10*'Loonkosten uitgebreid'!T$97)/12*'Tabellen PO-Raad'!$D$10),0)</f>
        <v>4.2712319999999986</v>
      </c>
      <c r="R53" s="374">
        <f>IF(R$46&lt;&gt;"[leeg]",IF('Loonkosten uitgebreid'!AS$108/'Loonkosten uitgebreid'!U$97&lt;'Tabellen PO-Raad'!$E$10,0,(+'Loonkosten uitgebreid'!AS$108-'Tabellen PO-Raad'!$E$10*'Loonkosten uitgebreid'!U$97)/12*'Tabellen PO-Raad'!$D$10),0)</f>
        <v>0</v>
      </c>
      <c r="S53" s="374">
        <f>IF(S$46&lt;&gt;"[leeg]",IF('Loonkosten uitgebreid'!AT$108/'Loonkosten uitgebreid'!V$97&lt;'Tabellen PO-Raad'!$E$10,0,(+'Loonkosten uitgebreid'!AT$108-'Tabellen PO-Raad'!$E$10*'Loonkosten uitgebreid'!V$97)/12*'Tabellen PO-Raad'!$D$10),0)</f>
        <v>0</v>
      </c>
      <c r="T53" s="374">
        <f>IF(T$46&lt;&gt;"[leeg]",IF('Loonkosten uitgebreid'!AU$108/'Loonkosten uitgebreid'!W$97&lt;'Tabellen PO-Raad'!$E$10,0,(+'Loonkosten uitgebreid'!AU$108-'Tabellen PO-Raad'!$E$10*'Loonkosten uitgebreid'!W$97)/12*'Tabellen PO-Raad'!$D$10),0)</f>
        <v>0</v>
      </c>
      <c r="U53" s="374">
        <f>IF(U$46&lt;&gt;"[leeg]",IF('Loonkosten uitgebreid'!AV$108/'Loonkosten uitgebreid'!X$97&lt;'Tabellen PO-Raad'!$E$10,0,(+'Loonkosten uitgebreid'!AV$108-'Tabellen PO-Raad'!$E$10*'Loonkosten uitgebreid'!X$97)/12*'Tabellen PO-Raad'!$D$10),0)</f>
        <v>0</v>
      </c>
      <c r="V53" s="374">
        <f>IF(V$46&lt;&gt;"[leeg]",IF('Loonkosten uitgebreid'!AW$108/'Loonkosten uitgebreid'!Y$97&lt;'Tabellen PO-Raad'!$E$10,0,(+'Loonkosten uitgebreid'!AW$108-'Tabellen PO-Raad'!$E$10*'Loonkosten uitgebreid'!Y$97)/12*'Tabellen PO-Raad'!$D$10),0)</f>
        <v>0</v>
      </c>
      <c r="W53" s="374">
        <f>IF(W$46&lt;&gt;"[leeg]",IF('Loonkosten uitgebreid'!AX$108/'Loonkosten uitgebreid'!Z$97&lt;'Tabellen PO-Raad'!$E$10,0,(+'Loonkosten uitgebreid'!AX$108-'Tabellen PO-Raad'!$E$10*'Loonkosten uitgebreid'!Z$97)/12*'Tabellen PO-Raad'!$D$10),0)</f>
        <v>0</v>
      </c>
      <c r="X53" s="374">
        <f>IF(X$46&lt;&gt;"[leeg]",IF('Loonkosten uitgebreid'!AY$108/'Loonkosten uitgebreid'!AA$97&lt;'Tabellen PO-Raad'!$E$10,0,(+'Loonkosten uitgebreid'!AY$108-'Tabellen PO-Raad'!$E$10*'Loonkosten uitgebreid'!AA$97)/12*'Tabellen PO-Raad'!$D$10),0)</f>
        <v>0</v>
      </c>
      <c r="Y53" s="364"/>
      <c r="Z53" s="374">
        <f t="shared" ref="Z53:Z54" si="49">D53*12</f>
        <v>36.951839999999997</v>
      </c>
      <c r="AA53" s="374">
        <f t="shared" si="47"/>
        <v>36.951839999999997</v>
      </c>
      <c r="AB53" s="374">
        <f t="shared" si="47"/>
        <v>40.184927999999999</v>
      </c>
      <c r="AC53" s="374">
        <f t="shared" si="47"/>
        <v>0</v>
      </c>
      <c r="AD53" s="374">
        <f t="shared" si="47"/>
        <v>0</v>
      </c>
      <c r="AE53" s="374">
        <f t="shared" si="47"/>
        <v>0</v>
      </c>
      <c r="AF53" s="374">
        <f t="shared" si="47"/>
        <v>0</v>
      </c>
      <c r="AG53" s="374">
        <f t="shared" si="47"/>
        <v>0</v>
      </c>
      <c r="AH53" s="374">
        <f t="shared" si="47"/>
        <v>0</v>
      </c>
      <c r="AI53" s="374">
        <f t="shared" si="47"/>
        <v>0</v>
      </c>
      <c r="AJ53" s="364"/>
      <c r="AK53" s="374">
        <f>O53*12</f>
        <v>51.254783999999987</v>
      </c>
      <c r="AL53" s="374">
        <f t="shared" si="48"/>
        <v>55.781279999999988</v>
      </c>
      <c r="AM53" s="374">
        <f t="shared" si="48"/>
        <v>51.254783999999987</v>
      </c>
      <c r="AN53" s="374">
        <f t="shared" si="48"/>
        <v>0</v>
      </c>
      <c r="AO53" s="374">
        <f t="shared" si="48"/>
        <v>0</v>
      </c>
      <c r="AP53" s="374">
        <f t="shared" si="48"/>
        <v>0</v>
      </c>
      <c r="AQ53" s="374">
        <f t="shared" si="48"/>
        <v>0</v>
      </c>
      <c r="AR53" s="374">
        <f t="shared" si="48"/>
        <v>0</v>
      </c>
      <c r="AS53" s="374">
        <f t="shared" si="48"/>
        <v>0</v>
      </c>
      <c r="AT53" s="374">
        <f t="shared" si="48"/>
        <v>0</v>
      </c>
    </row>
    <row r="54" spans="2:46" ht="16.5" thickTop="1" thickBot="1" x14ac:dyDescent="0.3">
      <c r="B54" s="367"/>
      <c r="C54" s="104" t="s">
        <v>45</v>
      </c>
      <c r="D54" s="374">
        <f>'Loonkosten uitgebreid'!AF$108/12*'Tabellen PO-Raad'!$D$11</f>
        <v>0</v>
      </c>
      <c r="E54" s="374">
        <f>IF(E$46&lt;&gt;"[leeg]",'Loonkosten uitgebreid'!AG$108/12*'Loonkosten uitgebreid'!AF$108/12*'Tabellen PO-Raad'!$D$11,0)</f>
        <v>0</v>
      </c>
      <c r="F54" s="374">
        <f>IF(F$46&lt;&gt;"[leeg]",'Loonkosten uitgebreid'!AH$108/12*'Loonkosten uitgebreid'!AG$108/12*'Tabellen PO-Raad'!$D$11,0)</f>
        <v>0</v>
      </c>
      <c r="G54" s="374">
        <f>IF(G$46&lt;&gt;"[leeg]",'Loonkosten uitgebreid'!AI$108/12*'Loonkosten uitgebreid'!AH$108/12*'Tabellen PO-Raad'!$D$11,0)</f>
        <v>0</v>
      </c>
      <c r="H54" s="374">
        <f>IF(H$46&lt;&gt;"[leeg]",'Loonkosten uitgebreid'!AJ$108/12*'Loonkosten uitgebreid'!AI$108/12*'Tabellen PO-Raad'!$D$11,0)</f>
        <v>0</v>
      </c>
      <c r="I54" s="374">
        <f>IF(I$46&lt;&gt;"[leeg]",'Loonkosten uitgebreid'!AK$108/12*'Loonkosten uitgebreid'!AJ$108/12*'Tabellen PO-Raad'!$D$11,0)</f>
        <v>0</v>
      </c>
      <c r="J54" s="374">
        <f>IF(J$46&lt;&gt;"[leeg]",'Loonkosten uitgebreid'!AL$108/12*'Loonkosten uitgebreid'!AK$108/12*'Tabellen PO-Raad'!$D$11,0)</f>
        <v>0</v>
      </c>
      <c r="K54" s="374">
        <f>IF(K$46&lt;&gt;"[leeg]",'Loonkosten uitgebreid'!AM$108/12*'Loonkosten uitgebreid'!AL$108/12*'Tabellen PO-Raad'!$D$11,0)</f>
        <v>0</v>
      </c>
      <c r="L54" s="374">
        <f>IF(L$46&lt;&gt;"[leeg]",'Loonkosten uitgebreid'!AN$108/12*'Loonkosten uitgebreid'!AM$108/12*'Tabellen PO-Raad'!$D$11,0)</f>
        <v>0</v>
      </c>
      <c r="M54" s="374">
        <f>IF(M$46&lt;&gt;"[leeg]",'Loonkosten uitgebreid'!AO$108/12*'Loonkosten uitgebreid'!AN$108/12*'Tabellen PO-Raad'!$D$11,0)</f>
        <v>0</v>
      </c>
      <c r="N54" s="364"/>
      <c r="O54" s="374">
        <f>'Loonkosten uitgebreid'!AR$108/12*'Tabellen PO-Raad'!$D$11</f>
        <v>0</v>
      </c>
      <c r="P54" s="374">
        <f>IF(P46&lt;&gt;"[leeg]",'Loonkosten uitgebreid'!AS$108/12*'Tabellen PO-Raad'!$D$11,0)</f>
        <v>0</v>
      </c>
      <c r="Q54" s="374">
        <f>IF(Q$46&lt;&gt;"[leeg]",'Loonkosten uitgebreid'!AS$108/12*'Loonkosten uitgebreid'!AR$108/12*'Tabellen PO-Raad'!$D$11,0)</f>
        <v>0</v>
      </c>
      <c r="R54" s="374">
        <f>IF(R$46&lt;&gt;"[leeg]",'Loonkosten uitgebreid'!AT$108/12*'Loonkosten uitgebreid'!AS$108/12*'Tabellen PO-Raad'!$D$11,0)</f>
        <v>0</v>
      </c>
      <c r="S54" s="374">
        <f>IF(S$46&lt;&gt;"[leeg]",'Loonkosten uitgebreid'!AU$108/12*'Loonkosten uitgebreid'!AT$108/12*'Tabellen PO-Raad'!$D$11,0)</f>
        <v>0</v>
      </c>
      <c r="T54" s="374">
        <f>IF(T$46&lt;&gt;"[leeg]",'Loonkosten uitgebreid'!AV$108/12*'Loonkosten uitgebreid'!AU$108/12*'Tabellen PO-Raad'!$D$11,0)</f>
        <v>0</v>
      </c>
      <c r="U54" s="374">
        <f>IF(U$46&lt;&gt;"[leeg]",'Loonkosten uitgebreid'!AW$108/12*'Loonkosten uitgebreid'!AV$108/12*'Tabellen PO-Raad'!$D$11,0)</f>
        <v>0</v>
      </c>
      <c r="V54" s="374">
        <f>IF(V$46&lt;&gt;"[leeg]",'Loonkosten uitgebreid'!AX$108/12*'Loonkosten uitgebreid'!AW$108/12*'Tabellen PO-Raad'!$D$11,0)</f>
        <v>0</v>
      </c>
      <c r="W54" s="374">
        <f>IF(W$46&lt;&gt;"[leeg]",'Loonkosten uitgebreid'!AY$108/12*'Loonkosten uitgebreid'!AX$108/12*'Tabellen PO-Raad'!$D$11,0)</f>
        <v>0</v>
      </c>
      <c r="X54" s="374">
        <f>IF(X$46&lt;&gt;"[leeg]",'Loonkosten uitgebreid'!AZ$108/12*'Loonkosten uitgebreid'!AY$108/12*'Tabellen PO-Raad'!$D$11,0)</f>
        <v>0</v>
      </c>
      <c r="Y54" s="364"/>
      <c r="Z54" s="374">
        <f t="shared" si="49"/>
        <v>0</v>
      </c>
      <c r="AA54" s="374">
        <f t="shared" si="47"/>
        <v>0</v>
      </c>
      <c r="AB54" s="374">
        <f t="shared" si="47"/>
        <v>0</v>
      </c>
      <c r="AC54" s="374">
        <f t="shared" si="47"/>
        <v>0</v>
      </c>
      <c r="AD54" s="374">
        <f t="shared" si="47"/>
        <v>0</v>
      </c>
      <c r="AE54" s="374">
        <f t="shared" si="47"/>
        <v>0</v>
      </c>
      <c r="AF54" s="374">
        <f t="shared" si="47"/>
        <v>0</v>
      </c>
      <c r="AG54" s="374">
        <f t="shared" si="47"/>
        <v>0</v>
      </c>
      <c r="AH54" s="374">
        <f t="shared" si="47"/>
        <v>0</v>
      </c>
      <c r="AI54" s="374">
        <f t="shared" si="47"/>
        <v>0</v>
      </c>
      <c r="AJ54" s="364"/>
      <c r="AK54" s="374">
        <f>O54*12</f>
        <v>0</v>
      </c>
      <c r="AL54" s="374">
        <f t="shared" si="48"/>
        <v>0</v>
      </c>
      <c r="AM54" s="374">
        <f t="shared" si="48"/>
        <v>0</v>
      </c>
      <c r="AN54" s="374">
        <f t="shared" si="48"/>
        <v>0</v>
      </c>
      <c r="AO54" s="374">
        <f t="shared" si="48"/>
        <v>0</v>
      </c>
      <c r="AP54" s="374">
        <f t="shared" si="48"/>
        <v>0</v>
      </c>
      <c r="AQ54" s="374">
        <f t="shared" si="48"/>
        <v>0</v>
      </c>
      <c r="AR54" s="374">
        <f t="shared" si="48"/>
        <v>0</v>
      </c>
      <c r="AS54" s="374">
        <f t="shared" si="48"/>
        <v>0</v>
      </c>
      <c r="AT54" s="374">
        <f t="shared" si="48"/>
        <v>0</v>
      </c>
    </row>
    <row r="55" spans="2:46" s="369" customFormat="1" ht="16.5" thickTop="1" thickBot="1" x14ac:dyDescent="0.3">
      <c r="B55" s="367"/>
      <c r="C55" s="365" t="s">
        <v>64</v>
      </c>
      <c r="D55" s="375">
        <f>SUM(D52:D54)</f>
        <v>140.81185499999998</v>
      </c>
      <c r="E55" s="375">
        <f>SUM(E52:E54)</f>
        <v>140.81185499999998</v>
      </c>
      <c r="F55" s="375">
        <f t="shared" ref="F55:M55" si="50">SUM(F52:F54)</f>
        <v>150.47744100000003</v>
      </c>
      <c r="G55" s="375">
        <f t="shared" si="50"/>
        <v>0</v>
      </c>
      <c r="H55" s="375">
        <f t="shared" si="50"/>
        <v>0</v>
      </c>
      <c r="I55" s="375">
        <f t="shared" si="50"/>
        <v>0</v>
      </c>
      <c r="J55" s="375">
        <f t="shared" si="50"/>
        <v>0</v>
      </c>
      <c r="K55" s="375">
        <f t="shared" si="50"/>
        <v>0</v>
      </c>
      <c r="L55" s="375">
        <f t="shared" si="50"/>
        <v>0</v>
      </c>
      <c r="M55" s="375">
        <f t="shared" si="50"/>
        <v>0</v>
      </c>
      <c r="N55" s="368"/>
      <c r="O55" s="375">
        <f>SUM(O52:O54)</f>
        <v>195.70819799999998</v>
      </c>
      <c r="P55" s="375">
        <f>SUM(P52:P54)</f>
        <v>209.24053499999997</v>
      </c>
      <c r="Q55" s="375">
        <f t="shared" ref="Q55:X55" si="51">SUM(Q52:Q54)</f>
        <v>195.70819799999998</v>
      </c>
      <c r="R55" s="375">
        <f t="shared" si="51"/>
        <v>0</v>
      </c>
      <c r="S55" s="375">
        <f t="shared" si="51"/>
        <v>0</v>
      </c>
      <c r="T55" s="375">
        <f t="shared" si="51"/>
        <v>0</v>
      </c>
      <c r="U55" s="375">
        <f t="shared" si="51"/>
        <v>0</v>
      </c>
      <c r="V55" s="375">
        <f t="shared" si="51"/>
        <v>0</v>
      </c>
      <c r="W55" s="375">
        <f t="shared" si="51"/>
        <v>0</v>
      </c>
      <c r="X55" s="375">
        <f t="shared" si="51"/>
        <v>0</v>
      </c>
      <c r="Y55" s="368"/>
      <c r="Z55" s="375">
        <f>SUM(Z52:Z54)</f>
        <v>1689.7422599999998</v>
      </c>
      <c r="AA55" s="375">
        <f>SUM(AA52:AA54)</f>
        <v>1689.7422599999998</v>
      </c>
      <c r="AB55" s="375">
        <f t="shared" ref="AB55:AI55" si="52">SUM(AB52:AB54)</f>
        <v>1805.7292920000002</v>
      </c>
      <c r="AC55" s="375">
        <f t="shared" si="52"/>
        <v>0</v>
      </c>
      <c r="AD55" s="375">
        <f t="shared" si="52"/>
        <v>0</v>
      </c>
      <c r="AE55" s="375">
        <f t="shared" si="52"/>
        <v>0</v>
      </c>
      <c r="AF55" s="375">
        <f t="shared" si="52"/>
        <v>0</v>
      </c>
      <c r="AG55" s="375">
        <f t="shared" si="52"/>
        <v>0</v>
      </c>
      <c r="AH55" s="375">
        <f t="shared" si="52"/>
        <v>0</v>
      </c>
      <c r="AI55" s="375">
        <f t="shared" si="52"/>
        <v>0</v>
      </c>
      <c r="AJ55" s="368"/>
      <c r="AK55" s="375">
        <f>SUM(AK52:AK54)</f>
        <v>2348.498376</v>
      </c>
      <c r="AL55" s="375">
        <f t="shared" ref="AL55:AT55" si="53">SUM(AL52:AL54)</f>
        <v>2510.8864199999998</v>
      </c>
      <c r="AM55" s="375">
        <f t="shared" si="53"/>
        <v>2348.498376</v>
      </c>
      <c r="AN55" s="375">
        <f t="shared" si="53"/>
        <v>0</v>
      </c>
      <c r="AO55" s="375">
        <f t="shared" si="53"/>
        <v>0</v>
      </c>
      <c r="AP55" s="375">
        <f t="shared" si="53"/>
        <v>0</v>
      </c>
      <c r="AQ55" s="375">
        <f t="shared" si="53"/>
        <v>0</v>
      </c>
      <c r="AR55" s="375">
        <f t="shared" si="53"/>
        <v>0</v>
      </c>
      <c r="AS55" s="375">
        <f t="shared" si="53"/>
        <v>0</v>
      </c>
      <c r="AT55" s="375">
        <f t="shared" si="53"/>
        <v>0</v>
      </c>
    </row>
    <row r="56" spans="2:46" ht="16.5" thickTop="1" thickBot="1" x14ac:dyDescent="0.3">
      <c r="B56" s="367"/>
      <c r="C56" s="104" t="s">
        <v>104</v>
      </c>
      <c r="D56" s="374">
        <f>'Loonkosten uitgebreid'!H107</f>
        <v>2326.8000000000002</v>
      </c>
      <c r="E56" s="374">
        <f>IF(E$46&lt;&gt;"[leeg]",'Loonkosten uitgebreid'!I107,0)</f>
        <v>2439.06</v>
      </c>
      <c r="F56" s="374">
        <f>IF(F$46&lt;&gt;"[leeg]",'Loonkosten uitgebreid'!J107,0)</f>
        <v>2563.54</v>
      </c>
      <c r="G56" s="374">
        <f>IF(G$46&lt;&gt;"[leeg]",'Loonkosten uitgebreid'!K107,0)</f>
        <v>0</v>
      </c>
      <c r="H56" s="374">
        <f>IF(H$46&lt;&gt;"[leeg]",'Loonkosten uitgebreid'!L107,0)</f>
        <v>0</v>
      </c>
      <c r="I56" s="374">
        <f>IF(I$46&lt;&gt;"[leeg]",'Loonkosten uitgebreid'!M107,0)</f>
        <v>0</v>
      </c>
      <c r="J56" s="374">
        <f>IF(J$46&lt;&gt;"[leeg]",'Loonkosten uitgebreid'!N107,0)</f>
        <v>0</v>
      </c>
      <c r="K56" s="374">
        <f>IF(K$46&lt;&gt;"[leeg]",'Loonkosten uitgebreid'!O107,0)</f>
        <v>0</v>
      </c>
      <c r="L56" s="374">
        <f>IF(L$46&lt;&gt;"[leeg]",'Loonkosten uitgebreid'!P107,0)</f>
        <v>0</v>
      </c>
      <c r="M56" s="374">
        <f>IF(M$46&lt;&gt;"[leeg]",'Loonkosten uitgebreid'!Q107,0)</f>
        <v>0</v>
      </c>
      <c r="N56" s="364"/>
      <c r="O56" s="374">
        <f>'Loonkosten uitgebreid'!T107</f>
        <v>3240.93</v>
      </c>
      <c r="P56" s="374">
        <f>IF(P$46&lt;&gt;"[leeg]",'Loonkosten uitgebreid'!T107,0)</f>
        <v>3240.93</v>
      </c>
      <c r="Q56" s="374">
        <f>IF(Q$46&lt;&gt;"[leeg]",'Loonkosten uitgebreid'!U107,0)</f>
        <v>3398.0999999999995</v>
      </c>
      <c r="R56" s="374">
        <f>IF(R$46&lt;&gt;"[leeg]",'Loonkosten uitgebreid'!V107,0)</f>
        <v>0</v>
      </c>
      <c r="S56" s="374">
        <f>IF(S$46&lt;&gt;"[leeg]",'Loonkosten uitgebreid'!W107,0)</f>
        <v>0</v>
      </c>
      <c r="T56" s="374">
        <f>IF(T$46&lt;&gt;"[leeg]",'Loonkosten uitgebreid'!X107,0)</f>
        <v>0</v>
      </c>
      <c r="U56" s="374">
        <f>IF(U$46&lt;&gt;"[leeg]",'Loonkosten uitgebreid'!Y107,0)</f>
        <v>0</v>
      </c>
      <c r="V56" s="374">
        <f>IF(V$46&lt;&gt;"[leeg]",'Loonkosten uitgebreid'!Z107,0)</f>
        <v>0</v>
      </c>
      <c r="W56" s="374">
        <f>IF(W$46&lt;&gt;"[leeg]",'Loonkosten uitgebreid'!AA107,0)</f>
        <v>0</v>
      </c>
      <c r="X56" s="374">
        <f>IF(X$46&lt;&gt;"[leeg]",'Loonkosten uitgebreid'!AB107,0)</f>
        <v>0</v>
      </c>
      <c r="Y56" s="364"/>
      <c r="Z56" s="374">
        <f>'Loonkosten uitgebreid'!AF107</f>
        <v>27921.599999999999</v>
      </c>
      <c r="AA56" s="374">
        <f>'Loonkosten uitgebreid'!AG107</f>
        <v>29268.720000000001</v>
      </c>
      <c r="AB56" s="374">
        <f>'Loonkosten uitgebreid'!AH107</f>
        <v>30762.48</v>
      </c>
      <c r="AC56" s="374">
        <f>'Loonkosten uitgebreid'!AI107</f>
        <v>0</v>
      </c>
      <c r="AD56" s="374">
        <f>'Loonkosten uitgebreid'!AJ107</f>
        <v>0</v>
      </c>
      <c r="AE56" s="374">
        <f>'Loonkosten uitgebreid'!AK107</f>
        <v>0</v>
      </c>
      <c r="AF56" s="374">
        <f>'Loonkosten uitgebreid'!AL107</f>
        <v>0</v>
      </c>
      <c r="AG56" s="374">
        <f>'Loonkosten uitgebreid'!AM107</f>
        <v>0</v>
      </c>
      <c r="AH56" s="374">
        <f>'Loonkosten uitgebreid'!AN107</f>
        <v>0</v>
      </c>
      <c r="AI56" s="374">
        <f>'Loonkosten uitgebreid'!AO107</f>
        <v>0</v>
      </c>
      <c r="AJ56" s="364"/>
      <c r="AK56" s="374">
        <f>'Loonkosten uitgebreid'!AR107</f>
        <v>38891.159999999996</v>
      </c>
      <c r="AL56" s="374">
        <f>'Loonkosten uitgebreid'!AS107</f>
        <v>40777.199999999997</v>
      </c>
      <c r="AM56" s="374">
        <f>'Loonkosten uitgebreid'!AT107</f>
        <v>42868.2</v>
      </c>
      <c r="AN56" s="374">
        <f>'Loonkosten uitgebreid'!AU107</f>
        <v>0</v>
      </c>
      <c r="AO56" s="374">
        <f>'Loonkosten uitgebreid'!AV107</f>
        <v>0</v>
      </c>
      <c r="AP56" s="374">
        <f>'Loonkosten uitgebreid'!AW107</f>
        <v>0</v>
      </c>
      <c r="AQ56" s="374">
        <f>'Loonkosten uitgebreid'!AX107</f>
        <v>0</v>
      </c>
      <c r="AR56" s="374">
        <f>'Loonkosten uitgebreid'!AY107</f>
        <v>0</v>
      </c>
      <c r="AS56" s="374">
        <f>'Loonkosten uitgebreid'!AZ107</f>
        <v>0</v>
      </c>
      <c r="AT56" s="374">
        <f>'Loonkosten uitgebreid'!BA107</f>
        <v>0</v>
      </c>
    </row>
    <row r="57" spans="2:46" ht="16.5" thickTop="1" thickBot="1" x14ac:dyDescent="0.3">
      <c r="B57" s="367"/>
      <c r="C57" s="104" t="s">
        <v>65</v>
      </c>
      <c r="D57" s="374">
        <f>D55</f>
        <v>140.81185499999998</v>
      </c>
      <c r="E57" s="374">
        <f>E55</f>
        <v>140.81185499999998</v>
      </c>
      <c r="F57" s="374">
        <f t="shared" ref="F57:M57" si="54">F55</f>
        <v>150.47744100000003</v>
      </c>
      <c r="G57" s="374">
        <f t="shared" si="54"/>
        <v>0</v>
      </c>
      <c r="H57" s="374">
        <f t="shared" si="54"/>
        <v>0</v>
      </c>
      <c r="I57" s="374">
        <f t="shared" si="54"/>
        <v>0</v>
      </c>
      <c r="J57" s="374">
        <f t="shared" si="54"/>
        <v>0</v>
      </c>
      <c r="K57" s="374">
        <f t="shared" si="54"/>
        <v>0</v>
      </c>
      <c r="L57" s="374">
        <f t="shared" si="54"/>
        <v>0</v>
      </c>
      <c r="M57" s="374">
        <f t="shared" si="54"/>
        <v>0</v>
      </c>
      <c r="N57" s="364"/>
      <c r="O57" s="374">
        <f>O55</f>
        <v>195.70819799999998</v>
      </c>
      <c r="P57" s="374">
        <f>P55</f>
        <v>209.24053499999997</v>
      </c>
      <c r="Q57" s="374">
        <f t="shared" ref="Q57:X57" si="55">Q55</f>
        <v>195.70819799999998</v>
      </c>
      <c r="R57" s="374">
        <f t="shared" si="55"/>
        <v>0</v>
      </c>
      <c r="S57" s="374">
        <f t="shared" si="55"/>
        <v>0</v>
      </c>
      <c r="T57" s="374">
        <f t="shared" si="55"/>
        <v>0</v>
      </c>
      <c r="U57" s="374">
        <f t="shared" si="55"/>
        <v>0</v>
      </c>
      <c r="V57" s="374">
        <f t="shared" si="55"/>
        <v>0</v>
      </c>
      <c r="W57" s="374">
        <f t="shared" si="55"/>
        <v>0</v>
      </c>
      <c r="X57" s="374">
        <f t="shared" si="55"/>
        <v>0</v>
      </c>
      <c r="Y57" s="364"/>
      <c r="Z57" s="374">
        <f>Z55</f>
        <v>1689.7422599999998</v>
      </c>
      <c r="AA57" s="374">
        <f>AA55</f>
        <v>1689.7422599999998</v>
      </c>
      <c r="AB57" s="374">
        <f t="shared" ref="AB57:AI57" si="56">AB55</f>
        <v>1805.7292920000002</v>
      </c>
      <c r="AC57" s="374">
        <f t="shared" si="56"/>
        <v>0</v>
      </c>
      <c r="AD57" s="374">
        <f t="shared" si="56"/>
        <v>0</v>
      </c>
      <c r="AE57" s="374">
        <f t="shared" si="56"/>
        <v>0</v>
      </c>
      <c r="AF57" s="374">
        <f t="shared" si="56"/>
        <v>0</v>
      </c>
      <c r="AG57" s="374">
        <f t="shared" si="56"/>
        <v>0</v>
      </c>
      <c r="AH57" s="374">
        <f t="shared" si="56"/>
        <v>0</v>
      </c>
      <c r="AI57" s="374">
        <f t="shared" si="56"/>
        <v>0</v>
      </c>
      <c r="AJ57" s="364"/>
      <c r="AK57" s="374">
        <f>AK55</f>
        <v>2348.498376</v>
      </c>
      <c r="AL57" s="374">
        <f t="shared" ref="AL57:AT57" si="57">AL55</f>
        <v>2510.8864199999998</v>
      </c>
      <c r="AM57" s="374">
        <f t="shared" si="57"/>
        <v>2348.498376</v>
      </c>
      <c r="AN57" s="374">
        <f t="shared" si="57"/>
        <v>0</v>
      </c>
      <c r="AO57" s="374">
        <f t="shared" si="57"/>
        <v>0</v>
      </c>
      <c r="AP57" s="374">
        <f t="shared" si="57"/>
        <v>0</v>
      </c>
      <c r="AQ57" s="374">
        <f t="shared" si="57"/>
        <v>0</v>
      </c>
      <c r="AR57" s="374">
        <f t="shared" si="57"/>
        <v>0</v>
      </c>
      <c r="AS57" s="374">
        <f t="shared" si="57"/>
        <v>0</v>
      </c>
      <c r="AT57" s="374">
        <f t="shared" si="57"/>
        <v>0</v>
      </c>
    </row>
    <row r="58" spans="2:46" ht="16.5" thickTop="1" thickBot="1" x14ac:dyDescent="0.3">
      <c r="B58" s="367"/>
      <c r="C58" s="42" t="s">
        <v>51</v>
      </c>
      <c r="D58" s="374">
        <f>D56-D57</f>
        <v>2185.9881450000003</v>
      </c>
      <c r="E58" s="374">
        <f>E56-E57</f>
        <v>2298.248145</v>
      </c>
      <c r="F58" s="374">
        <f t="shared" ref="F58:M58" si="58">F56-F57</f>
        <v>2413.062559</v>
      </c>
      <c r="G58" s="374">
        <f t="shared" si="58"/>
        <v>0</v>
      </c>
      <c r="H58" s="374">
        <f t="shared" si="58"/>
        <v>0</v>
      </c>
      <c r="I58" s="374">
        <f t="shared" si="58"/>
        <v>0</v>
      </c>
      <c r="J58" s="374">
        <f t="shared" si="58"/>
        <v>0</v>
      </c>
      <c r="K58" s="374">
        <f t="shared" si="58"/>
        <v>0</v>
      </c>
      <c r="L58" s="374">
        <f t="shared" si="58"/>
        <v>0</v>
      </c>
      <c r="M58" s="374">
        <f t="shared" si="58"/>
        <v>0</v>
      </c>
      <c r="N58" s="364"/>
      <c r="O58" s="374">
        <f>O56-O57</f>
        <v>3045.221802</v>
      </c>
      <c r="P58" s="374">
        <f>P56-P57</f>
        <v>3031.6894649999999</v>
      </c>
      <c r="Q58" s="374">
        <f t="shared" ref="Q58:X58" si="59">Q56-Q57</f>
        <v>3202.3918019999996</v>
      </c>
      <c r="R58" s="374">
        <f t="shared" si="59"/>
        <v>0</v>
      </c>
      <c r="S58" s="374">
        <f t="shared" si="59"/>
        <v>0</v>
      </c>
      <c r="T58" s="374">
        <f t="shared" si="59"/>
        <v>0</v>
      </c>
      <c r="U58" s="374">
        <f t="shared" si="59"/>
        <v>0</v>
      </c>
      <c r="V58" s="374">
        <f t="shared" si="59"/>
        <v>0</v>
      </c>
      <c r="W58" s="374">
        <f t="shared" si="59"/>
        <v>0</v>
      </c>
      <c r="X58" s="374">
        <f t="shared" si="59"/>
        <v>0</v>
      </c>
      <c r="Y58" s="364"/>
      <c r="Z58" s="374">
        <f>'Loonkosten uitgebreid'!AF107-Z55</f>
        <v>26231.857739999999</v>
      </c>
      <c r="AA58" s="374">
        <f>IF(AA$46&lt;&gt;"[leeg]",'Loonkosten uitgebreid'!AG107-AA55,0)</f>
        <v>27578.977740000002</v>
      </c>
      <c r="AB58" s="374">
        <f>IF(AB$46&lt;&gt;"[leeg]",'Loonkosten uitgebreid'!AH107-AB55,0)</f>
        <v>28956.750708</v>
      </c>
      <c r="AC58" s="374">
        <f>IF(AC$46&lt;&gt;"[leeg]",'Loonkosten uitgebreid'!AI107-AC55,0)</f>
        <v>0</v>
      </c>
      <c r="AD58" s="374">
        <f>IF(AD$46&lt;&gt;"[leeg]",'Loonkosten uitgebreid'!AJ107-AD55,0)</f>
        <v>0</v>
      </c>
      <c r="AE58" s="374">
        <f>IF(AE$46&lt;&gt;"[leeg]",'Loonkosten uitgebreid'!AK107-AE55,0)</f>
        <v>0</v>
      </c>
      <c r="AF58" s="374">
        <f>IF(AF$46&lt;&gt;"[leeg]",'Loonkosten uitgebreid'!AL107-AF55,0)</f>
        <v>0</v>
      </c>
      <c r="AG58" s="374">
        <f>IF(AG$46&lt;&gt;"[leeg]",'Loonkosten uitgebreid'!AM107-AG55,0)</f>
        <v>0</v>
      </c>
      <c r="AH58" s="374">
        <f>IF(AH$46&lt;&gt;"[leeg]",'Loonkosten uitgebreid'!AN107-AH55,0)</f>
        <v>0</v>
      </c>
      <c r="AI58" s="374">
        <f>IF(AI$46&lt;&gt;"[leeg]",'Loonkosten uitgebreid'!AO107-AI55,0)</f>
        <v>0</v>
      </c>
      <c r="AJ58" s="364"/>
      <c r="AK58" s="374">
        <f>'Loonkosten uitgebreid'!AR107-AK55</f>
        <v>36542.661623999993</v>
      </c>
      <c r="AL58" s="374">
        <f>'Loonkosten uitgebreid'!AS107-AL55</f>
        <v>38266.313579999995</v>
      </c>
      <c r="AM58" s="374">
        <f>'Loonkosten uitgebreid'!AT107-AM55</f>
        <v>40519.701623999994</v>
      </c>
      <c r="AN58" s="374">
        <f>'Loonkosten uitgebreid'!AU107-AN55</f>
        <v>0</v>
      </c>
      <c r="AO58" s="374">
        <f>'Loonkosten uitgebreid'!AV107-AO55</f>
        <v>0</v>
      </c>
      <c r="AP58" s="374">
        <f>'Loonkosten uitgebreid'!AW107-AP55</f>
        <v>0</v>
      </c>
      <c r="AQ58" s="374">
        <f>'Loonkosten uitgebreid'!AX107-AQ55</f>
        <v>0</v>
      </c>
      <c r="AR58" s="374">
        <f>'Loonkosten uitgebreid'!AY107-AR55</f>
        <v>0</v>
      </c>
      <c r="AS58" s="374">
        <f>'Loonkosten uitgebreid'!AZ107-AS55</f>
        <v>0</v>
      </c>
      <c r="AT58" s="374">
        <f>'Loonkosten uitgebreid'!BA107-AT55</f>
        <v>0</v>
      </c>
    </row>
    <row r="59" spans="2:46" ht="16.5" thickTop="1" thickBot="1" x14ac:dyDescent="0.3">
      <c r="B59" s="367"/>
      <c r="C59" s="104" t="s">
        <v>66</v>
      </c>
      <c r="D59" s="374">
        <f>D58</f>
        <v>2185.9881450000003</v>
      </c>
      <c r="E59" s="374">
        <f>E58</f>
        <v>2298.248145</v>
      </c>
      <c r="F59" s="374">
        <f t="shared" ref="F59:M59" si="60">F58</f>
        <v>2413.062559</v>
      </c>
      <c r="G59" s="374">
        <f t="shared" si="60"/>
        <v>0</v>
      </c>
      <c r="H59" s="374">
        <f t="shared" si="60"/>
        <v>0</v>
      </c>
      <c r="I59" s="374">
        <f t="shared" si="60"/>
        <v>0</v>
      </c>
      <c r="J59" s="374">
        <f t="shared" si="60"/>
        <v>0</v>
      </c>
      <c r="K59" s="374">
        <f t="shared" si="60"/>
        <v>0</v>
      </c>
      <c r="L59" s="374">
        <f t="shared" si="60"/>
        <v>0</v>
      </c>
      <c r="M59" s="374">
        <f t="shared" si="60"/>
        <v>0</v>
      </c>
      <c r="N59" s="364"/>
      <c r="O59" s="374">
        <f>O58</f>
        <v>3045.221802</v>
      </c>
      <c r="P59" s="374">
        <f>P58</f>
        <v>3031.6894649999999</v>
      </c>
      <c r="Q59" s="374">
        <f t="shared" ref="Q59:X59" si="61">Q58</f>
        <v>3202.3918019999996</v>
      </c>
      <c r="R59" s="374">
        <f t="shared" si="61"/>
        <v>0</v>
      </c>
      <c r="S59" s="374">
        <f t="shared" si="61"/>
        <v>0</v>
      </c>
      <c r="T59" s="374">
        <f t="shared" si="61"/>
        <v>0</v>
      </c>
      <c r="U59" s="374">
        <f t="shared" si="61"/>
        <v>0</v>
      </c>
      <c r="V59" s="374">
        <f t="shared" si="61"/>
        <v>0</v>
      </c>
      <c r="W59" s="374">
        <f t="shared" si="61"/>
        <v>0</v>
      </c>
      <c r="X59" s="374">
        <f t="shared" si="61"/>
        <v>0</v>
      </c>
      <c r="Y59" s="364"/>
      <c r="Z59" s="374">
        <f>Z58</f>
        <v>26231.857739999999</v>
      </c>
      <c r="AA59" s="374">
        <f>AA58</f>
        <v>27578.977740000002</v>
      </c>
      <c r="AB59" s="374">
        <f t="shared" ref="AB59:AI59" si="62">AB58</f>
        <v>28956.750708</v>
      </c>
      <c r="AC59" s="374">
        <f t="shared" si="62"/>
        <v>0</v>
      </c>
      <c r="AD59" s="374">
        <f t="shared" si="62"/>
        <v>0</v>
      </c>
      <c r="AE59" s="374">
        <f t="shared" si="62"/>
        <v>0</v>
      </c>
      <c r="AF59" s="374">
        <f t="shared" si="62"/>
        <v>0</v>
      </c>
      <c r="AG59" s="374">
        <f t="shared" si="62"/>
        <v>0</v>
      </c>
      <c r="AH59" s="374">
        <f t="shared" si="62"/>
        <v>0</v>
      </c>
      <c r="AI59" s="374">
        <f t="shared" si="62"/>
        <v>0</v>
      </c>
      <c r="AJ59" s="364"/>
      <c r="AK59" s="374">
        <f>AK58</f>
        <v>36542.661623999993</v>
      </c>
      <c r="AL59" s="374">
        <f t="shared" ref="AL59:AT59" si="63">AL58</f>
        <v>38266.313579999995</v>
      </c>
      <c r="AM59" s="374">
        <f t="shared" si="63"/>
        <v>40519.701623999994</v>
      </c>
      <c r="AN59" s="374">
        <f t="shared" si="63"/>
        <v>0</v>
      </c>
      <c r="AO59" s="374">
        <f t="shared" si="63"/>
        <v>0</v>
      </c>
      <c r="AP59" s="374">
        <f t="shared" si="63"/>
        <v>0</v>
      </c>
      <c r="AQ59" s="374">
        <f t="shared" si="63"/>
        <v>0</v>
      </c>
      <c r="AR59" s="374">
        <f t="shared" si="63"/>
        <v>0</v>
      </c>
      <c r="AS59" s="374">
        <f t="shared" si="63"/>
        <v>0</v>
      </c>
      <c r="AT59" s="374">
        <f t="shared" si="63"/>
        <v>0</v>
      </c>
    </row>
    <row r="60" spans="2:46" ht="16.5" thickTop="1" thickBot="1" x14ac:dyDescent="0.3">
      <c r="B60" s="367"/>
      <c r="C60" s="104" t="s">
        <v>52</v>
      </c>
      <c r="D60" s="374">
        <f>'Loonkosten uitgebreid'!H116</f>
        <v>146.02000000000001</v>
      </c>
      <c r="E60" s="374">
        <f>IF(E$46&lt;&gt;"[leeg]",'Loonkosten uitgebreid'!I116,0)</f>
        <v>146.02000000000001</v>
      </c>
      <c r="F60" s="374">
        <f>IF(F$46&lt;&gt;"[leeg]",'Loonkosten uitgebreid'!J116,0)</f>
        <v>153.52000000000001</v>
      </c>
      <c r="G60" s="374">
        <f>IF(G$46&lt;&gt;"[leeg]",'Loonkosten uitgebreid'!K116,0)</f>
        <v>0</v>
      </c>
      <c r="H60" s="374">
        <f>IF(H$46&lt;&gt;"[leeg]",'Loonkosten uitgebreid'!L116,0)</f>
        <v>0</v>
      </c>
      <c r="I60" s="374">
        <f>IF(I$46&lt;&gt;"[leeg]",'Loonkosten uitgebreid'!M116,0)</f>
        <v>0</v>
      </c>
      <c r="J60" s="374">
        <f>IF(J$46&lt;&gt;"[leeg]",'Loonkosten uitgebreid'!N116,0)</f>
        <v>0</v>
      </c>
      <c r="K60" s="374">
        <f>IF(K$46&lt;&gt;"[leeg]",'Loonkosten uitgebreid'!O116,0)</f>
        <v>0</v>
      </c>
      <c r="L60" s="374">
        <f>IF(L$46&lt;&gt;"[leeg]",'Loonkosten uitgebreid'!P116,0)</f>
        <v>0</v>
      </c>
      <c r="M60" s="374">
        <f>IF(M$46&lt;&gt;"[leeg]",'Loonkosten uitgebreid'!Q116,0)</f>
        <v>0</v>
      </c>
      <c r="N60" s="364"/>
      <c r="O60" s="374">
        <f>'Loonkosten uitgebreid'!T116</f>
        <v>203.42</v>
      </c>
      <c r="P60" s="374">
        <f>IF(P$46&lt;&gt;"[leeg]",'Loonkosten uitgebreid'!T116,0)</f>
        <v>203.42</v>
      </c>
      <c r="Q60" s="374">
        <f>IF(Q$46&lt;&gt;"[leeg]",'Loonkosten uitgebreid'!U116,0)</f>
        <v>202.52</v>
      </c>
      <c r="R60" s="374">
        <f>IF(R$46&lt;&gt;"[leeg]",'Loonkosten uitgebreid'!V116,0)</f>
        <v>0</v>
      </c>
      <c r="S60" s="374">
        <f>IF(S$46&lt;&gt;"[leeg]",'Loonkosten uitgebreid'!W116,0)</f>
        <v>0</v>
      </c>
      <c r="T60" s="374">
        <f>IF(T$46&lt;&gt;"[leeg]",'Loonkosten uitgebreid'!X116,0)</f>
        <v>0</v>
      </c>
      <c r="U60" s="374">
        <f>IF(U$46&lt;&gt;"[leeg]",'Loonkosten uitgebreid'!Y116,0)</f>
        <v>0</v>
      </c>
      <c r="V60" s="374">
        <f>IF(V$46&lt;&gt;"[leeg]",'Loonkosten uitgebreid'!Z116,0)</f>
        <v>0</v>
      </c>
      <c r="W60" s="374">
        <f>IF(W$46&lt;&gt;"[leeg]",'Loonkosten uitgebreid'!AA116,0)</f>
        <v>0</v>
      </c>
      <c r="X60" s="374">
        <f>IF(X$46&lt;&gt;"[leeg]",'Loonkosten uitgebreid'!AB116,0)</f>
        <v>0</v>
      </c>
      <c r="Y60" s="364"/>
      <c r="Z60" s="374">
        <f>'Loonkosten uitgebreid'!AF116</f>
        <v>1752.2400000000002</v>
      </c>
      <c r="AA60" s="374">
        <f>IF(AA$46&lt;&gt;"[leeg]",'Loonkosten uitgebreid'!AG116,0)</f>
        <v>1752.2400000000002</v>
      </c>
      <c r="AB60" s="374">
        <f>IF(AB$46&lt;&gt;"[leeg]",'Loonkosten uitgebreid'!AH116,0)</f>
        <v>1842.2400000000002</v>
      </c>
      <c r="AC60" s="374">
        <f>IF(AC$46&lt;&gt;"[leeg]",'Loonkosten uitgebreid'!AI116,0)</f>
        <v>0</v>
      </c>
      <c r="AD60" s="374">
        <f>IF(AD$46&lt;&gt;"[leeg]",'Loonkosten uitgebreid'!AJ116,0)</f>
        <v>0</v>
      </c>
      <c r="AE60" s="374">
        <f>IF(AE$46&lt;&gt;"[leeg]",'Loonkosten uitgebreid'!AK116,0)</f>
        <v>0</v>
      </c>
      <c r="AF60" s="374">
        <f>IF(AF$46&lt;&gt;"[leeg]",'Loonkosten uitgebreid'!AL116,0)</f>
        <v>0</v>
      </c>
      <c r="AG60" s="374">
        <f>IF(AG$46&lt;&gt;"[leeg]",'Loonkosten uitgebreid'!AM116,0)</f>
        <v>0</v>
      </c>
      <c r="AH60" s="374">
        <f>IF(AH$46&lt;&gt;"[leeg]",'Loonkosten uitgebreid'!AN116,0)</f>
        <v>0</v>
      </c>
      <c r="AI60" s="374">
        <f>IF(AI$46&lt;&gt;"[leeg]",'Loonkosten uitgebreid'!AO116,0)</f>
        <v>0</v>
      </c>
      <c r="AJ60" s="364"/>
      <c r="AK60" s="374">
        <f>'Loonkosten uitgebreid'!AR116</f>
        <v>2441.04</v>
      </c>
      <c r="AL60" s="374">
        <f>'Loonkosten uitgebreid'!AS116</f>
        <v>2430.2400000000002</v>
      </c>
      <c r="AM60" s="374">
        <f>'Loonkosten uitgebreid'!AT116</f>
        <v>2567.04</v>
      </c>
      <c r="AN60" s="374">
        <f>'Loonkosten uitgebreid'!AU116</f>
        <v>0</v>
      </c>
      <c r="AO60" s="374">
        <f>'Loonkosten uitgebreid'!AV116</f>
        <v>0</v>
      </c>
      <c r="AP60" s="374">
        <f>'Loonkosten uitgebreid'!AW116</f>
        <v>0</v>
      </c>
      <c r="AQ60" s="374">
        <f>'Loonkosten uitgebreid'!AX116</f>
        <v>0</v>
      </c>
      <c r="AR60" s="374">
        <f>'Loonkosten uitgebreid'!AY116</f>
        <v>0</v>
      </c>
      <c r="AS60" s="374">
        <f>'Loonkosten uitgebreid'!AZ116</f>
        <v>0</v>
      </c>
      <c r="AT60" s="374">
        <f>'Loonkosten uitgebreid'!BA116</f>
        <v>0</v>
      </c>
    </row>
    <row r="61" spans="2:46" ht="16.5" thickTop="1" thickBot="1" x14ac:dyDescent="0.3">
      <c r="B61" s="367"/>
      <c r="C61" s="42" t="s">
        <v>27</v>
      </c>
      <c r="D61" s="374">
        <f>SUM(D59:D60)</f>
        <v>2332.0081450000002</v>
      </c>
      <c r="E61" s="374">
        <f>SUM(E59:E60)</f>
        <v>2444.268145</v>
      </c>
      <c r="F61" s="374">
        <f t="shared" ref="F61:M61" si="64">SUM(F59:F60)</f>
        <v>2566.5825589999999</v>
      </c>
      <c r="G61" s="374">
        <f t="shared" si="64"/>
        <v>0</v>
      </c>
      <c r="H61" s="374">
        <f t="shared" si="64"/>
        <v>0</v>
      </c>
      <c r="I61" s="374">
        <f t="shared" si="64"/>
        <v>0</v>
      </c>
      <c r="J61" s="374">
        <f t="shared" si="64"/>
        <v>0</v>
      </c>
      <c r="K61" s="374">
        <f t="shared" si="64"/>
        <v>0</v>
      </c>
      <c r="L61" s="374">
        <f t="shared" si="64"/>
        <v>0</v>
      </c>
      <c r="M61" s="374">
        <f t="shared" si="64"/>
        <v>0</v>
      </c>
      <c r="N61" s="364"/>
      <c r="O61" s="374">
        <f>SUM(O59:O60)</f>
        <v>3248.6418020000001</v>
      </c>
      <c r="P61" s="374">
        <f>SUM(P59:P60)</f>
        <v>3235.109465</v>
      </c>
      <c r="Q61" s="374">
        <f t="shared" ref="Q61:X61" si="65">SUM(Q59:Q60)</f>
        <v>3404.9118019999996</v>
      </c>
      <c r="R61" s="374">
        <f t="shared" si="65"/>
        <v>0</v>
      </c>
      <c r="S61" s="374">
        <f t="shared" si="65"/>
        <v>0</v>
      </c>
      <c r="T61" s="374">
        <f t="shared" si="65"/>
        <v>0</v>
      </c>
      <c r="U61" s="374">
        <f t="shared" si="65"/>
        <v>0</v>
      </c>
      <c r="V61" s="374">
        <f t="shared" si="65"/>
        <v>0</v>
      </c>
      <c r="W61" s="374">
        <f t="shared" si="65"/>
        <v>0</v>
      </c>
      <c r="X61" s="374">
        <f t="shared" si="65"/>
        <v>0</v>
      </c>
      <c r="Y61" s="364"/>
      <c r="Z61" s="374">
        <f>SUM(Z59:Z60)</f>
        <v>27984.097740000001</v>
      </c>
      <c r="AA61" s="374">
        <f>SUM(AA59:AA60)</f>
        <v>29331.217740000004</v>
      </c>
      <c r="AB61" s="374">
        <f t="shared" ref="AB61:AI61" si="66">SUM(AB59:AB60)</f>
        <v>30798.990708000001</v>
      </c>
      <c r="AC61" s="374">
        <f t="shared" si="66"/>
        <v>0</v>
      </c>
      <c r="AD61" s="374">
        <f t="shared" si="66"/>
        <v>0</v>
      </c>
      <c r="AE61" s="374">
        <f t="shared" si="66"/>
        <v>0</v>
      </c>
      <c r="AF61" s="374">
        <f t="shared" si="66"/>
        <v>0</v>
      </c>
      <c r="AG61" s="374">
        <f t="shared" si="66"/>
        <v>0</v>
      </c>
      <c r="AH61" s="374">
        <f t="shared" si="66"/>
        <v>0</v>
      </c>
      <c r="AI61" s="374">
        <f t="shared" si="66"/>
        <v>0</v>
      </c>
      <c r="AJ61" s="364"/>
      <c r="AK61" s="374">
        <f>SUM(AK59:AK60)</f>
        <v>38983.701623999994</v>
      </c>
      <c r="AL61" s="374">
        <f t="shared" ref="AL61:AT61" si="67">SUM(AL59:AL60)</f>
        <v>40696.553579999993</v>
      </c>
      <c r="AM61" s="374">
        <f t="shared" si="67"/>
        <v>43086.741623999995</v>
      </c>
      <c r="AN61" s="374">
        <f t="shared" si="67"/>
        <v>0</v>
      </c>
      <c r="AO61" s="374">
        <f t="shared" si="67"/>
        <v>0</v>
      </c>
      <c r="AP61" s="374">
        <f t="shared" si="67"/>
        <v>0</v>
      </c>
      <c r="AQ61" s="374">
        <f t="shared" si="67"/>
        <v>0</v>
      </c>
      <c r="AR61" s="374">
        <f t="shared" si="67"/>
        <v>0</v>
      </c>
      <c r="AS61" s="374">
        <f t="shared" si="67"/>
        <v>0</v>
      </c>
      <c r="AT61" s="374">
        <f t="shared" si="67"/>
        <v>0</v>
      </c>
    </row>
    <row r="62" spans="2:46" ht="16.5" thickTop="1" thickBot="1" x14ac:dyDescent="0.3">
      <c r="B62" s="104"/>
      <c r="C62" s="104" t="s">
        <v>116</v>
      </c>
      <c r="D62" s="374">
        <f>D61</f>
        <v>2332.0081450000002</v>
      </c>
      <c r="E62" s="374">
        <f>E61</f>
        <v>2444.268145</v>
      </c>
      <c r="F62" s="374">
        <f t="shared" ref="F62:M62" si="68">F61</f>
        <v>2566.5825589999999</v>
      </c>
      <c r="G62" s="374">
        <f t="shared" si="68"/>
        <v>0</v>
      </c>
      <c r="H62" s="374">
        <f t="shared" si="68"/>
        <v>0</v>
      </c>
      <c r="I62" s="374">
        <f t="shared" si="68"/>
        <v>0</v>
      </c>
      <c r="J62" s="374">
        <f t="shared" si="68"/>
        <v>0</v>
      </c>
      <c r="K62" s="374">
        <f t="shared" si="68"/>
        <v>0</v>
      </c>
      <c r="L62" s="374">
        <f t="shared" si="68"/>
        <v>0</v>
      </c>
      <c r="M62" s="374">
        <f t="shared" si="68"/>
        <v>0</v>
      </c>
      <c r="N62" s="364"/>
      <c r="O62" s="374">
        <f>O61</f>
        <v>3248.6418020000001</v>
      </c>
      <c r="P62" s="374">
        <f>P61</f>
        <v>3235.109465</v>
      </c>
      <c r="Q62" s="374">
        <f t="shared" ref="Q62:X62" si="69">Q61</f>
        <v>3404.9118019999996</v>
      </c>
      <c r="R62" s="374">
        <f t="shared" si="69"/>
        <v>0</v>
      </c>
      <c r="S62" s="374">
        <f t="shared" si="69"/>
        <v>0</v>
      </c>
      <c r="T62" s="374">
        <f t="shared" si="69"/>
        <v>0</v>
      </c>
      <c r="U62" s="374">
        <f t="shared" si="69"/>
        <v>0</v>
      </c>
      <c r="V62" s="374">
        <f t="shared" si="69"/>
        <v>0</v>
      </c>
      <c r="W62" s="374">
        <f t="shared" si="69"/>
        <v>0</v>
      </c>
      <c r="X62" s="374">
        <f t="shared" si="69"/>
        <v>0</v>
      </c>
      <c r="Y62" s="364"/>
      <c r="Z62" s="374">
        <f>Z61</f>
        <v>27984.097740000001</v>
      </c>
      <c r="AA62" s="374">
        <f>AA61</f>
        <v>29331.217740000004</v>
      </c>
      <c r="AB62" s="374">
        <f t="shared" ref="AB62:AI62" si="70">AB61</f>
        <v>30798.990708000001</v>
      </c>
      <c r="AC62" s="374">
        <f t="shared" si="70"/>
        <v>0</v>
      </c>
      <c r="AD62" s="374">
        <f t="shared" si="70"/>
        <v>0</v>
      </c>
      <c r="AE62" s="374">
        <f t="shared" si="70"/>
        <v>0</v>
      </c>
      <c r="AF62" s="374">
        <f t="shared" si="70"/>
        <v>0</v>
      </c>
      <c r="AG62" s="374">
        <f t="shared" si="70"/>
        <v>0</v>
      </c>
      <c r="AH62" s="374">
        <f t="shared" si="70"/>
        <v>0</v>
      </c>
      <c r="AI62" s="374">
        <f t="shared" si="70"/>
        <v>0</v>
      </c>
      <c r="AJ62" s="364"/>
      <c r="AK62" s="374">
        <f>AK61</f>
        <v>38983.701623999994</v>
      </c>
      <c r="AL62" s="374">
        <f t="shared" ref="AL62:AT62" si="71">AL61</f>
        <v>40696.553579999993</v>
      </c>
      <c r="AM62" s="374">
        <f t="shared" si="71"/>
        <v>43086.741623999995</v>
      </c>
      <c r="AN62" s="374">
        <f t="shared" si="71"/>
        <v>0</v>
      </c>
      <c r="AO62" s="374">
        <f t="shared" si="71"/>
        <v>0</v>
      </c>
      <c r="AP62" s="374">
        <f t="shared" si="71"/>
        <v>0</v>
      </c>
      <c r="AQ62" s="374">
        <f t="shared" si="71"/>
        <v>0</v>
      </c>
      <c r="AR62" s="374">
        <f t="shared" si="71"/>
        <v>0</v>
      </c>
      <c r="AS62" s="374">
        <f t="shared" si="71"/>
        <v>0</v>
      </c>
      <c r="AT62" s="374">
        <f t="shared" si="71"/>
        <v>0</v>
      </c>
    </row>
    <row r="63" spans="2:46" ht="16.5" thickTop="1" thickBot="1" x14ac:dyDescent="0.3">
      <c r="B63" s="104"/>
      <c r="C63" s="42" t="s">
        <v>115</v>
      </c>
      <c r="D63" s="374">
        <f>Z63/12</f>
        <v>861.21060794850007</v>
      </c>
      <c r="E63" s="374">
        <f t="shared" ref="E63:M64" si="72">IF(E$46&lt;&gt;"[leeg]",AA63/12,0)</f>
        <v>902.66822594850009</v>
      </c>
      <c r="F63" s="374">
        <f t="shared" si="72"/>
        <v>947.83893903870012</v>
      </c>
      <c r="G63" s="374">
        <f t="shared" si="72"/>
        <v>0</v>
      </c>
      <c r="H63" s="374">
        <f t="shared" si="72"/>
        <v>0</v>
      </c>
      <c r="I63" s="374">
        <f t="shared" si="72"/>
        <v>0</v>
      </c>
      <c r="J63" s="374">
        <f t="shared" si="72"/>
        <v>0</v>
      </c>
      <c r="K63" s="374">
        <f t="shared" si="72"/>
        <v>0</v>
      </c>
      <c r="L63" s="374">
        <f t="shared" si="72"/>
        <v>0</v>
      </c>
      <c r="M63" s="374">
        <f t="shared" si="72"/>
        <v>0</v>
      </c>
      <c r="N63" s="364"/>
      <c r="O63" s="374">
        <f>AK63/12</f>
        <v>1199.7234174785999</v>
      </c>
      <c r="P63" s="374">
        <f t="shared" ref="P63:P64" si="73">IF(P$46&lt;&gt;"[leeg]",AL63/12,0)</f>
        <v>1252.4364364244998</v>
      </c>
      <c r="Q63" s="374">
        <f t="shared" ref="Q63:Q64" si="74">IF(Q$46&lt;&gt;"[leeg]",AM63/12,0)</f>
        <v>1325.9944734786</v>
      </c>
      <c r="R63" s="374">
        <f t="shared" ref="R63:R64" si="75">IF(R$46&lt;&gt;"[leeg]",AN63/12,0)</f>
        <v>0</v>
      </c>
      <c r="S63" s="374">
        <f t="shared" ref="S63:S64" si="76">IF(S$46&lt;&gt;"[leeg]",AO63/12,0)</f>
        <v>0</v>
      </c>
      <c r="T63" s="374">
        <f t="shared" ref="T63:T64" si="77">IF(T$46&lt;&gt;"[leeg]",AP63/12,0)</f>
        <v>0</v>
      </c>
      <c r="U63" s="374">
        <f t="shared" ref="U63:U64" si="78">IF(U$46&lt;&gt;"[leeg]",AQ63/12,0)</f>
        <v>0</v>
      </c>
      <c r="V63" s="374">
        <f t="shared" ref="V63:V64" si="79">IF(V$46&lt;&gt;"[leeg]",AR63/12,0)</f>
        <v>0</v>
      </c>
      <c r="W63" s="374">
        <f t="shared" ref="W63:W64" si="80">IF(W$46&lt;&gt;"[leeg]",AS63/12,0)</f>
        <v>0</v>
      </c>
      <c r="X63" s="374">
        <f t="shared" ref="X63:X64" si="81">IF(X$46&lt;&gt;"[leeg]",AT63/12,0)</f>
        <v>0</v>
      </c>
      <c r="Y63" s="364"/>
      <c r="Z63" s="374">
        <f>IF('Loonkosten uitgebreid'!$H$81&gt;='Tabellen Loonbelasting'!$B$5,VLOOKUP(Z61,'Tabellen Loonbelasting'!$B$7:$D$9,2,TRUE)*('Inkomensgevolgen uitgebreid'!Z61-VLOOKUP(Z61,'Tabellen Loonbelasting'!$B$7:$D$9,1,TRUE)),VLOOKUP(Z61,'Tabellen Loonbelasting'!$B$12:$D$15,2,TRUE)*('Inkomensgevolgen uitgebreid'!Z61-VLOOKUP(Z61,'Tabellen Loonbelasting'!$B$12:$D$15,1,TRUE)))</f>
        <v>10334.527295382</v>
      </c>
      <c r="AA63" s="374">
        <f>IF(AA$46&lt;&gt;"[leeg]",IF('Loonkosten uitgebreid'!$H$81&gt;='Tabellen Loonbelasting'!$B$5,VLOOKUP(AA61,'Tabellen Loonbelasting'!$B$7:$D$9,2,TRUE)*('Inkomensgevolgen uitgebreid'!AA61-VLOOKUP(AA61,'Tabellen Loonbelasting'!$B$7:$D$9,1,TRUE)),VLOOKUP(AA61,'Tabellen Loonbelasting'!$B$12:$D$15,2,TRUE)*('Inkomensgevolgen uitgebreid'!AA61-VLOOKUP(AA61,'Tabellen Loonbelasting'!$B$12:$D$15,1,TRUE))),0)</f>
        <v>10832.018711382001</v>
      </c>
      <c r="AB63" s="374">
        <f>IF(AB$46&lt;&gt;"[leeg]",IF('Loonkosten uitgebreid'!$H$81&gt;='Tabellen Loonbelasting'!$B$5,VLOOKUP(AB61,'Tabellen Loonbelasting'!$B$7:$D$9,2,TRUE)*('Inkomensgevolgen uitgebreid'!AB61-VLOOKUP(AB61,'Tabellen Loonbelasting'!$B$7:$D$9,1,TRUE)),VLOOKUP(AB61,'Tabellen Loonbelasting'!$B$12:$D$15,2,TRUE)*('Inkomensgevolgen uitgebreid'!AB61-VLOOKUP(AB61,'Tabellen Loonbelasting'!$B$12:$D$15,1,TRUE))),0)</f>
        <v>11374.067268464401</v>
      </c>
      <c r="AC63" s="374">
        <f>IF(AC$46&lt;&gt;"[leeg]",IF('Loonkosten uitgebreid'!$H$81&gt;='Tabellen Loonbelasting'!$B$5,VLOOKUP(AC61,'Tabellen Loonbelasting'!$B$7:$D$9,2,TRUE)*('Inkomensgevolgen uitgebreid'!AC61-VLOOKUP(AC61,'Tabellen Loonbelasting'!$B$7:$D$9,1,TRUE)),VLOOKUP(AC61,'Tabellen Loonbelasting'!$B$12:$D$15,2,TRUE)*('Inkomensgevolgen uitgebreid'!AC61-VLOOKUP(AC61,'Tabellen Loonbelasting'!$B$12:$D$15,1,TRUE))),0)</f>
        <v>0</v>
      </c>
      <c r="AD63" s="374">
        <f>IF(AD$46&lt;&gt;"[leeg]",IF('Loonkosten uitgebreid'!$H$81&gt;='Tabellen Loonbelasting'!$B$5,VLOOKUP(AD61,'Tabellen Loonbelasting'!$B$7:$D$9,2,TRUE)*('Inkomensgevolgen uitgebreid'!AD61-VLOOKUP(AD61,'Tabellen Loonbelasting'!$B$7:$D$9,1,TRUE)),VLOOKUP(AD61,'Tabellen Loonbelasting'!$B$12:$D$15,2,TRUE)*('Inkomensgevolgen uitgebreid'!AD61-VLOOKUP(AD61,'Tabellen Loonbelasting'!$B$12:$D$15,1,TRUE))),0)</f>
        <v>0</v>
      </c>
      <c r="AE63" s="374">
        <f>IF(AE$46&lt;&gt;"[leeg]",IF('Loonkosten uitgebreid'!$H$81&gt;='Tabellen Loonbelasting'!$B$5,VLOOKUP(AE61,'Tabellen Loonbelasting'!$B$7:$D$9,2,TRUE)*('Inkomensgevolgen uitgebreid'!AE61-VLOOKUP(AE61,'Tabellen Loonbelasting'!$B$7:$D$9,1,TRUE)),VLOOKUP(AE61,'Tabellen Loonbelasting'!$B$12:$D$15,2,TRUE)*('Inkomensgevolgen uitgebreid'!AE61-VLOOKUP(AE61,'Tabellen Loonbelasting'!$B$12:$D$15,1,TRUE))),0)</f>
        <v>0</v>
      </c>
      <c r="AF63" s="374">
        <f>IF(AF$46&lt;&gt;"[leeg]",IF('Loonkosten uitgebreid'!$H$81&gt;='Tabellen Loonbelasting'!$B$5,VLOOKUP(AF61,'Tabellen Loonbelasting'!$B$7:$D$9,2,TRUE)*('Inkomensgevolgen uitgebreid'!AF61-VLOOKUP(AF61,'Tabellen Loonbelasting'!$B$7:$D$9,1,TRUE)),VLOOKUP(AF61,'Tabellen Loonbelasting'!$B$12:$D$15,2,TRUE)*('Inkomensgevolgen uitgebreid'!AF61-VLOOKUP(AF61,'Tabellen Loonbelasting'!$B$12:$D$15,1,TRUE))),0)</f>
        <v>0</v>
      </c>
      <c r="AG63" s="374">
        <f>IF(AG$46&lt;&gt;"[leeg]",IF('Loonkosten uitgebreid'!$H$81&gt;='Tabellen Loonbelasting'!$B$5,VLOOKUP(AG61,'Tabellen Loonbelasting'!$B$7:$D$9,2,TRUE)*('Inkomensgevolgen uitgebreid'!AG61-VLOOKUP(AG61,'Tabellen Loonbelasting'!$B$7:$D$9,1,TRUE)),VLOOKUP(AG61,'Tabellen Loonbelasting'!$B$12:$D$15,2,TRUE)*('Inkomensgevolgen uitgebreid'!AG61-VLOOKUP(AG61,'Tabellen Loonbelasting'!$B$12:$D$15,1,TRUE))),0)</f>
        <v>0</v>
      </c>
      <c r="AH63" s="374">
        <f>IF(AH$46&lt;&gt;"[leeg]",IF('Loonkosten uitgebreid'!$H$81&gt;='Tabellen Loonbelasting'!$B$5,VLOOKUP(AH61,'Tabellen Loonbelasting'!$B$7:$D$9,2,TRUE)*('Inkomensgevolgen uitgebreid'!AH61-VLOOKUP(AH61,'Tabellen Loonbelasting'!$B$7:$D$9,1,TRUE)),VLOOKUP(AH61,'Tabellen Loonbelasting'!$B$12:$D$15,2,TRUE)*('Inkomensgevolgen uitgebreid'!AH61-VLOOKUP(AH61,'Tabellen Loonbelasting'!$B$12:$D$15,1,TRUE))),0)</f>
        <v>0</v>
      </c>
      <c r="AI63" s="374">
        <f>IF(AI$46&lt;&gt;"[leeg]",IF('Loonkosten uitgebreid'!$H$81&gt;='Tabellen Loonbelasting'!$B$5,VLOOKUP(AI61,'Tabellen Loonbelasting'!$B$7:$D$9,2,TRUE)*('Inkomensgevolgen uitgebreid'!AI61-VLOOKUP(AI61,'Tabellen Loonbelasting'!$B$7:$D$9,1,TRUE)),VLOOKUP(AI61,'Tabellen Loonbelasting'!$B$12:$D$15,2,TRUE)*('Inkomensgevolgen uitgebreid'!AI61-VLOOKUP(AI61,'Tabellen Loonbelasting'!$B$12:$D$15,1,TRUE))),0)</f>
        <v>0</v>
      </c>
      <c r="AJ63" s="364"/>
      <c r="AK63" s="374">
        <f>IF('Loonkosten uitgebreid'!$H$81&gt;='Tabellen Loonbelasting'!$B$5,VLOOKUP(AK61,'Tabellen Loonbelasting'!$B$7:$D$9,2,TRUE)*('Inkomensgevolgen uitgebreid'!AK61-VLOOKUP(AK61,'Tabellen Loonbelasting'!$B$7:$D$9,1,TRUE)),VLOOKUP(AK61,'Tabellen Loonbelasting'!$B$12:$D$15,2,TRUE)*('Inkomensgevolgen uitgebreid'!AK61-VLOOKUP(AK61,'Tabellen Loonbelasting'!$B$12:$D$15,1,TRUE)))</f>
        <v>14396.681009743199</v>
      </c>
      <c r="AL63" s="374">
        <f>IF(AL46&lt;&gt;"[leeg]",IF('Loonkosten uitgebreid'!$H$81&gt;='Tabellen Loonbelasting'!$B$5,VLOOKUP(AL61,'Tabellen Loonbelasting'!$B$7:$D$9,2,TRUE)*('Inkomensgevolgen uitgebreid'!AL61-VLOOKUP(AL61,'Tabellen Loonbelasting'!$B$7:$D$9,1,TRUE)),VLOOKUP(AL61,'Tabellen Loonbelasting'!$B$12:$D$15,2,TRUE)*('Inkomensgevolgen uitgebreid'!AL61-VLOOKUP(AL61,'Tabellen Loonbelasting'!$B$12:$D$15,1,TRUE))),0)</f>
        <v>15029.237237093997</v>
      </c>
      <c r="AM63" s="374">
        <f>IF(AM46&lt;&gt;"[leeg]",IF('Loonkosten uitgebreid'!$H$81&gt;='Tabellen Loonbelasting'!$B$5,VLOOKUP(AM61,'Tabellen Loonbelasting'!$B$7:$D$9,2,TRUE)*('Inkomensgevolgen uitgebreid'!AM61-VLOOKUP(AM61,'Tabellen Loonbelasting'!$B$7:$D$9,1,TRUE)),VLOOKUP(AM61,'Tabellen Loonbelasting'!$B$12:$D$15,2,TRUE)*('Inkomensgevolgen uitgebreid'!AM61-VLOOKUP(AM61,'Tabellen Loonbelasting'!$B$12:$D$15,1,TRUE))),0)</f>
        <v>15911.933681743199</v>
      </c>
      <c r="AN63" s="374">
        <f>IF(AN46&lt;&gt;"[leeg]",IF('Loonkosten uitgebreid'!$H$81&gt;='Tabellen Loonbelasting'!$B$5,VLOOKUP(AN61,'Tabellen Loonbelasting'!$B$7:$D$9,2,TRUE)*('Inkomensgevolgen uitgebreid'!AN61-VLOOKUP(AN61,'Tabellen Loonbelasting'!$B$7:$D$9,1,TRUE)),VLOOKUP(AN61,'Tabellen Loonbelasting'!$B$12:$D$15,2,TRUE)*('Inkomensgevolgen uitgebreid'!AN61-VLOOKUP(AN61,'Tabellen Loonbelasting'!$B$12:$D$15,1,TRUE))),0)</f>
        <v>0</v>
      </c>
      <c r="AO63" s="374">
        <f>IF(AO46&lt;&gt;"[leeg]",IF('Loonkosten uitgebreid'!$H$81&gt;='Tabellen Loonbelasting'!$B$5,VLOOKUP(AO61,'Tabellen Loonbelasting'!$B$7:$D$9,2,TRUE)*('Inkomensgevolgen uitgebreid'!AO61-VLOOKUP(AO61,'Tabellen Loonbelasting'!$B$7:$D$9,1,TRUE)),VLOOKUP(AO61,'Tabellen Loonbelasting'!$B$12:$D$15,2,TRUE)*('Inkomensgevolgen uitgebreid'!AO61-VLOOKUP(AO61,'Tabellen Loonbelasting'!$B$12:$D$15,1,TRUE))),0)</f>
        <v>0</v>
      </c>
      <c r="AP63" s="374">
        <f>IF(AP46&lt;&gt;"[leeg]",IF('Loonkosten uitgebreid'!$H$81&gt;='Tabellen Loonbelasting'!$B$5,VLOOKUP(AP61,'Tabellen Loonbelasting'!$B$7:$D$9,2,TRUE)*('Inkomensgevolgen uitgebreid'!AP61-VLOOKUP(AP61,'Tabellen Loonbelasting'!$B$7:$D$9,1,TRUE)),VLOOKUP(AP61,'Tabellen Loonbelasting'!$B$12:$D$15,2,TRUE)*('Inkomensgevolgen uitgebreid'!AP61-VLOOKUP(AP61,'Tabellen Loonbelasting'!$B$12:$D$15,1,TRUE))),0)</f>
        <v>0</v>
      </c>
      <c r="AQ63" s="374">
        <f>IF(AQ46&lt;&gt;"[leeg]",IF('Loonkosten uitgebreid'!$H$81&gt;='Tabellen Loonbelasting'!$B$5,VLOOKUP(AQ61,'Tabellen Loonbelasting'!$B$7:$D$9,2,TRUE)*('Inkomensgevolgen uitgebreid'!AQ61-VLOOKUP(AQ61,'Tabellen Loonbelasting'!$B$7:$D$9,1,TRUE)),VLOOKUP(AQ61,'Tabellen Loonbelasting'!$B$12:$D$15,2,TRUE)*('Inkomensgevolgen uitgebreid'!AQ61-VLOOKUP(AQ61,'Tabellen Loonbelasting'!$B$12:$D$15,1,TRUE))),0)</f>
        <v>0</v>
      </c>
      <c r="AR63" s="374">
        <f>IF(AR46&lt;&gt;"[leeg]",IF('Loonkosten uitgebreid'!$H$81&gt;='Tabellen Loonbelasting'!$B$5,VLOOKUP(AR61,'Tabellen Loonbelasting'!$B$7:$D$9,2,TRUE)*('Inkomensgevolgen uitgebreid'!AR61-VLOOKUP(AR61,'Tabellen Loonbelasting'!$B$7:$D$9,1,TRUE)),VLOOKUP(AR61,'Tabellen Loonbelasting'!$B$12:$D$15,2,TRUE)*('Inkomensgevolgen uitgebreid'!AR61-VLOOKUP(AR61,'Tabellen Loonbelasting'!$B$12:$D$15,1,TRUE))),0)</f>
        <v>0</v>
      </c>
      <c r="AS63" s="374">
        <f>IF(AS46&lt;&gt;"[leeg]",IF('Loonkosten uitgebreid'!$H$81&gt;='Tabellen Loonbelasting'!$B$5,VLOOKUP(AS61,'Tabellen Loonbelasting'!$B$7:$D$9,2,TRUE)*('Inkomensgevolgen uitgebreid'!AS61-VLOOKUP(AS61,'Tabellen Loonbelasting'!$B$7:$D$9,1,TRUE)),VLOOKUP(AS61,'Tabellen Loonbelasting'!$B$12:$D$15,2,TRUE)*('Inkomensgevolgen uitgebreid'!AS61-VLOOKUP(AS61,'Tabellen Loonbelasting'!$B$12:$D$15,1,TRUE))),0)</f>
        <v>0</v>
      </c>
      <c r="AT63" s="374">
        <f>IF(AT46&lt;&gt;"[leeg]",IF('Loonkosten uitgebreid'!$H$81&gt;='Tabellen Loonbelasting'!$B$5,VLOOKUP(AT61,'Tabellen Loonbelasting'!$B$7:$D$9,2,TRUE)*('Inkomensgevolgen uitgebreid'!AT61-VLOOKUP(AT61,'Tabellen Loonbelasting'!$B$7:$D$9,1,TRUE)),VLOOKUP(AT61,'Tabellen Loonbelasting'!$B$12:$D$15,2,TRUE)*('Inkomensgevolgen uitgebreid'!AT61-VLOOKUP(AT61,'Tabellen Loonbelasting'!$B$12:$D$15,1,TRUE))),0)</f>
        <v>0</v>
      </c>
    </row>
    <row r="64" spans="2:46" ht="16.5" thickTop="1" thickBot="1" x14ac:dyDescent="0.3">
      <c r="B64" s="104"/>
      <c r="C64" s="42" t="s">
        <v>32</v>
      </c>
      <c r="D64" s="374">
        <f>Z64/12</f>
        <v>228.80151189558333</v>
      </c>
      <c r="E64" s="374">
        <f t="shared" si="72"/>
        <v>221.95926489558329</v>
      </c>
      <c r="F64" s="374">
        <f t="shared" si="72"/>
        <v>214.50420136228331</v>
      </c>
      <c r="G64" s="374">
        <f t="shared" si="72"/>
        <v>0</v>
      </c>
      <c r="H64" s="374">
        <f t="shared" si="72"/>
        <v>0</v>
      </c>
      <c r="I64" s="374">
        <f t="shared" si="72"/>
        <v>0</v>
      </c>
      <c r="J64" s="374">
        <f t="shared" si="72"/>
        <v>0</v>
      </c>
      <c r="K64" s="374">
        <f t="shared" si="72"/>
        <v>0</v>
      </c>
      <c r="L64" s="374">
        <f t="shared" si="72"/>
        <v>0</v>
      </c>
      <c r="M64" s="374">
        <f t="shared" si="72"/>
        <v>0</v>
      </c>
      <c r="N64" s="364"/>
      <c r="O64" s="374">
        <f>AK64/12</f>
        <v>172.93269050143337</v>
      </c>
      <c r="P64" s="374">
        <f t="shared" si="73"/>
        <v>164.23282994158339</v>
      </c>
      <c r="Q64" s="374">
        <f t="shared" si="74"/>
        <v>152.09266650143337</v>
      </c>
      <c r="R64" s="374">
        <f t="shared" si="75"/>
        <v>0</v>
      </c>
      <c r="S64" s="374">
        <f t="shared" si="76"/>
        <v>0</v>
      </c>
      <c r="T64" s="374">
        <f t="shared" si="77"/>
        <v>0</v>
      </c>
      <c r="U64" s="374">
        <f t="shared" si="78"/>
        <v>0</v>
      </c>
      <c r="V64" s="374">
        <f t="shared" si="79"/>
        <v>0</v>
      </c>
      <c r="W64" s="374">
        <f t="shared" si="80"/>
        <v>0</v>
      </c>
      <c r="X64" s="374">
        <f t="shared" si="81"/>
        <v>0</v>
      </c>
      <c r="Y64" s="364"/>
      <c r="Z64" s="374">
        <f>IF('Loonkosten uitgebreid'!$H$81&gt;'Tabellen Loonbelasting'!$B$5,IF(Z62&gt;='Tabellen Loonbelasting'!$B$22,0,IF(Z62&lt;'Tabellen Loonbelasting'!$B$21,'Tabellen Loonbelasting'!$C$20,'Tabellen Loonbelasting'!$C$20-'Tabellen Loonbelasting'!$C$21*('Inkomensgevolgen uitgebreid'!Z62-'Tabellen Loonbelasting'!$B$21-1))),IF(Z62&gt;='Tabellen Loonbelasting'!$B$27,0,IF(Z62&lt;'Tabellen Loonbelasting'!$B$26,'Tabellen Loonbelasting'!$C$25,'Tabellen Loonbelasting'!$C$25-'Tabellen Loonbelasting'!$C$26*('Inkomensgevolgen uitgebreid'!Z62-'Tabellen Loonbelasting'!$B$26-1))))</f>
        <v>2745.6181427470001</v>
      </c>
      <c r="AA64" s="374">
        <f>IF(AA$46&lt;&gt;"[leeg]",IF('Loonkosten uitgebreid'!$H$81&gt;'Tabellen Loonbelasting'!$B$5,IF(AA62&gt;='Tabellen Loonbelasting'!$B$22,0,IF(AA62&lt;'Tabellen Loonbelasting'!$B$21,'Tabellen Loonbelasting'!$C$20,'Tabellen Loonbelasting'!$C$20-'Tabellen Loonbelasting'!$C$21*('Inkomensgevolgen uitgebreid'!AA62-'Tabellen Loonbelasting'!$B$21-1))),IF(AA62&gt;='Tabellen Loonbelasting'!$B$27,0,IF(AA62&lt;'Tabellen Loonbelasting'!$B$26,'Tabellen Loonbelasting'!$C$25,'Tabellen Loonbelasting'!$C$25-'Tabellen Loonbelasting'!$C$26*('Inkomensgevolgen uitgebreid'!AA62-'Tabellen Loonbelasting'!$B$26-1)))),0)</f>
        <v>2663.5111787469996</v>
      </c>
      <c r="AB64" s="374">
        <f>IF(AB$46&lt;&gt;"[leeg]",IF('Loonkosten uitgebreid'!$H$81&gt;'Tabellen Loonbelasting'!$B$5,IF(AB62&gt;='Tabellen Loonbelasting'!$B$22,0,IF(AB62&lt;'Tabellen Loonbelasting'!$B$21,'Tabellen Loonbelasting'!$C$20,'Tabellen Loonbelasting'!$C$20-'Tabellen Loonbelasting'!$C$21*('Inkomensgevolgen uitgebreid'!AB62-'Tabellen Loonbelasting'!$B$21-1))),IF(AB62&gt;='Tabellen Loonbelasting'!$B$27,0,IF(AB62&lt;'Tabellen Loonbelasting'!$B$26,'Tabellen Loonbelasting'!$C$25,'Tabellen Loonbelasting'!$C$25-'Tabellen Loonbelasting'!$C$26*('Inkomensgevolgen uitgebreid'!AB62-'Tabellen Loonbelasting'!$B$26-1)))),0)</f>
        <v>2574.0504163473997</v>
      </c>
      <c r="AC64" s="374">
        <f>IF(AC$46&lt;&gt;"[leeg]",IF('Loonkosten uitgebreid'!$H$81&gt;'Tabellen Loonbelasting'!$B$5,IF(AC62&gt;='Tabellen Loonbelasting'!$B$22,0,IF(AC62&lt;'Tabellen Loonbelasting'!$B$21,'Tabellen Loonbelasting'!$C$20,'Tabellen Loonbelasting'!$C$20-'Tabellen Loonbelasting'!$C$21*('Inkomensgevolgen uitgebreid'!AC62-'Tabellen Loonbelasting'!$B$21-1))),IF(AC62&gt;='Tabellen Loonbelasting'!$B$27,0,IF(AC62&lt;'Tabellen Loonbelasting'!$B$26,'Tabellen Loonbelasting'!$C$25,'Tabellen Loonbelasting'!$C$25-'Tabellen Loonbelasting'!$C$26*('Inkomensgevolgen uitgebreid'!AC62-'Tabellen Loonbelasting'!$B$26-1)))),0)</f>
        <v>0</v>
      </c>
      <c r="AD64" s="374">
        <f>IF(AD$46&lt;&gt;"[leeg]",IF('Loonkosten uitgebreid'!$H$81&gt;'Tabellen Loonbelasting'!$B$5,IF(AD62&gt;='Tabellen Loonbelasting'!$B$22,0,IF(AD62&lt;'Tabellen Loonbelasting'!$B$21,'Tabellen Loonbelasting'!$C$20,'Tabellen Loonbelasting'!$C$20-'Tabellen Loonbelasting'!$C$21*('Inkomensgevolgen uitgebreid'!AD62-'Tabellen Loonbelasting'!$B$21-1))),IF(AD62&gt;='Tabellen Loonbelasting'!$B$27,0,IF(AD62&lt;'Tabellen Loonbelasting'!$B$26,'Tabellen Loonbelasting'!$C$25,'Tabellen Loonbelasting'!$C$25-'Tabellen Loonbelasting'!$C$26*('Inkomensgevolgen uitgebreid'!AD62-'Tabellen Loonbelasting'!$B$26-1)))),0)</f>
        <v>0</v>
      </c>
      <c r="AE64" s="374">
        <f>IF(AE$46&lt;&gt;"[leeg]",IF('Loonkosten uitgebreid'!$H$81&gt;'Tabellen Loonbelasting'!$B$5,IF(AE62&gt;='Tabellen Loonbelasting'!$B$22,0,IF(AE62&lt;'Tabellen Loonbelasting'!$B$21,'Tabellen Loonbelasting'!$C$20,'Tabellen Loonbelasting'!$C$20-'Tabellen Loonbelasting'!$C$21*('Inkomensgevolgen uitgebreid'!AE62-'Tabellen Loonbelasting'!$B$21-1))),IF(AE62&gt;='Tabellen Loonbelasting'!$B$27,0,IF(AE62&lt;'Tabellen Loonbelasting'!$B$26,'Tabellen Loonbelasting'!$C$25,'Tabellen Loonbelasting'!$C$25-'Tabellen Loonbelasting'!$C$26*('Inkomensgevolgen uitgebreid'!AE62-'Tabellen Loonbelasting'!$B$26-1)))),0)</f>
        <v>0</v>
      </c>
      <c r="AF64" s="374">
        <f>IF(AF$46&lt;&gt;"[leeg]",IF('Loonkosten uitgebreid'!$H$81&gt;'Tabellen Loonbelasting'!$B$5,IF(AF62&gt;='Tabellen Loonbelasting'!$B$22,0,IF(AF62&lt;'Tabellen Loonbelasting'!$B$21,'Tabellen Loonbelasting'!$C$20,'Tabellen Loonbelasting'!$C$20-'Tabellen Loonbelasting'!$C$21*('Inkomensgevolgen uitgebreid'!AF62-'Tabellen Loonbelasting'!$B$21-1))),IF(AF62&gt;='Tabellen Loonbelasting'!$B$27,0,IF(AF62&lt;'Tabellen Loonbelasting'!$B$26,'Tabellen Loonbelasting'!$C$25,'Tabellen Loonbelasting'!$C$25-'Tabellen Loonbelasting'!$C$26*('Inkomensgevolgen uitgebreid'!AF62-'Tabellen Loonbelasting'!$B$26-1)))),0)</f>
        <v>0</v>
      </c>
      <c r="AG64" s="374">
        <f>IF(AG$46&lt;&gt;"[leeg]",IF('Loonkosten uitgebreid'!$H$81&gt;'Tabellen Loonbelasting'!$B$5,IF(AG62&gt;='Tabellen Loonbelasting'!$B$22,0,IF(AG62&lt;'Tabellen Loonbelasting'!$B$21,'Tabellen Loonbelasting'!$C$20,'Tabellen Loonbelasting'!$C$20-'Tabellen Loonbelasting'!$C$21*('Inkomensgevolgen uitgebreid'!AG62-'Tabellen Loonbelasting'!$B$21-1))),IF(AG62&gt;='Tabellen Loonbelasting'!$B$27,0,IF(AG62&lt;'Tabellen Loonbelasting'!$B$26,'Tabellen Loonbelasting'!$C$25,'Tabellen Loonbelasting'!$C$25-'Tabellen Loonbelasting'!$C$26*('Inkomensgevolgen uitgebreid'!AG62-'Tabellen Loonbelasting'!$B$26-1)))),0)</f>
        <v>0</v>
      </c>
      <c r="AH64" s="374">
        <f>IF(AH$46&lt;&gt;"[leeg]",IF('Loonkosten uitgebreid'!$H$81&gt;'Tabellen Loonbelasting'!$B$5,IF(AH62&gt;='Tabellen Loonbelasting'!$B$22,0,IF(AH62&lt;'Tabellen Loonbelasting'!$B$21,'Tabellen Loonbelasting'!$C$20,'Tabellen Loonbelasting'!$C$20-'Tabellen Loonbelasting'!$C$21*('Inkomensgevolgen uitgebreid'!AH62-'Tabellen Loonbelasting'!$B$21-1))),IF(AH62&gt;='Tabellen Loonbelasting'!$B$27,0,IF(AH62&lt;'Tabellen Loonbelasting'!$B$26,'Tabellen Loonbelasting'!$C$25,'Tabellen Loonbelasting'!$C$25-'Tabellen Loonbelasting'!$C$26*('Inkomensgevolgen uitgebreid'!AH62-'Tabellen Loonbelasting'!$B$26-1)))),0)</f>
        <v>0</v>
      </c>
      <c r="AI64" s="374">
        <f>IF(AI$46&lt;&gt;"[leeg]",IF('Loonkosten uitgebreid'!$H$81&gt;'Tabellen Loonbelasting'!$B$5,IF(AI62&gt;='Tabellen Loonbelasting'!$B$22,0,IF(AI62&lt;'Tabellen Loonbelasting'!$B$21,'Tabellen Loonbelasting'!$C$20,'Tabellen Loonbelasting'!$C$20-'Tabellen Loonbelasting'!$C$21*('Inkomensgevolgen uitgebreid'!AI62-'Tabellen Loonbelasting'!$B$21-1))),IF(AI62&gt;='Tabellen Loonbelasting'!$B$27,0,IF(AI62&lt;'Tabellen Loonbelasting'!$B$26,'Tabellen Loonbelasting'!$C$25,'Tabellen Loonbelasting'!$C$25-'Tabellen Loonbelasting'!$C$26*('Inkomensgevolgen uitgebreid'!AI62-'Tabellen Loonbelasting'!$B$26-1)))),0)</f>
        <v>0</v>
      </c>
      <c r="AJ64" s="364"/>
      <c r="AK64" s="374">
        <f>IF('Loonkosten uitgebreid'!$H$81&gt;'Tabellen Loonbelasting'!$B$5,IF(AK62&gt;='Tabellen Loonbelasting'!$B$22,0,IF(AK62&lt;'Tabellen Loonbelasting'!$B$21,'Tabellen Loonbelasting'!$C$20,'Tabellen Loonbelasting'!$C$20-'Tabellen Loonbelasting'!$C$21*('Inkomensgevolgen uitgebreid'!AK62-'Tabellen Loonbelasting'!$B$21-1))),IF(AK62&gt;='Tabellen Loonbelasting'!$B$27,0,IF(AK62&lt;'Tabellen Loonbelasting'!$B$26,'Tabellen Loonbelasting'!$C$25,'Tabellen Loonbelasting'!$C$25-'Tabellen Loonbelasting'!$C$26*('Inkomensgevolgen uitgebreid'!AK62-'Tabellen Loonbelasting'!$B$26-1))))</f>
        <v>2075.1922860172003</v>
      </c>
      <c r="AL64" s="374">
        <f>IF(AL46&lt;&gt;"[leeg]",IF('Loonkosten uitgebreid'!$H$81&gt;'Tabellen Loonbelasting'!$B$5,IF(AL62&gt;='Tabellen Loonbelasting'!$B$22,0,IF(AL62&lt;'Tabellen Loonbelasting'!$B$21,'Tabellen Loonbelasting'!$C$20,'Tabellen Loonbelasting'!$C$20-'Tabellen Loonbelasting'!$C$21*('Inkomensgevolgen uitgebreid'!AL62-'Tabellen Loonbelasting'!$B$21-1))),IF(AL62&gt;='Tabellen Loonbelasting'!$B$27,0,IF(AL62&lt;'Tabellen Loonbelasting'!$B$26,'Tabellen Loonbelasting'!$C$25,'Tabellen Loonbelasting'!$C$25-'Tabellen Loonbelasting'!$C$26*('Inkomensgevolgen uitgebreid'!AL62-'Tabellen Loonbelasting'!$B$26-1)))),0)</f>
        <v>1970.7939592990006</v>
      </c>
      <c r="AM64" s="374">
        <f>IF(AM46&lt;&gt;"[leeg]",IF('Loonkosten uitgebreid'!$H$81&gt;'Tabellen Loonbelasting'!$B$5,IF(AM62&gt;='Tabellen Loonbelasting'!$B$22,0,IF(AM62&lt;'Tabellen Loonbelasting'!$B$21,'Tabellen Loonbelasting'!$C$20,'Tabellen Loonbelasting'!$C$20-'Tabellen Loonbelasting'!$C$21*('Inkomensgevolgen uitgebreid'!AM62-'Tabellen Loonbelasting'!$B$21-1))),IF(AM62&gt;='Tabellen Loonbelasting'!$B$27,0,IF(AM62&lt;'Tabellen Loonbelasting'!$B$26,'Tabellen Loonbelasting'!$C$25,'Tabellen Loonbelasting'!$C$25-'Tabellen Loonbelasting'!$C$26*('Inkomensgevolgen uitgebreid'!AM62-'Tabellen Loonbelasting'!$B$26-1)))),0)</f>
        <v>1825.1119980172004</v>
      </c>
      <c r="AN64" s="374">
        <f>IF(AN46&lt;&gt;"[leeg]",IF('Loonkosten uitgebreid'!$H$81&gt;'Tabellen Loonbelasting'!$B$5,IF(AN62&gt;='Tabellen Loonbelasting'!$B$22,0,IF(AN62&lt;'Tabellen Loonbelasting'!$B$21,'Tabellen Loonbelasting'!$C$20,'Tabellen Loonbelasting'!$C$20-'Tabellen Loonbelasting'!$C$21*('Inkomensgevolgen uitgebreid'!AN62-'Tabellen Loonbelasting'!$B$21-1))),IF(AN62&gt;='Tabellen Loonbelasting'!$B$27,0,IF(AN62&lt;'Tabellen Loonbelasting'!$B$26,'Tabellen Loonbelasting'!$C$25,'Tabellen Loonbelasting'!$C$25-'Tabellen Loonbelasting'!$C$26*('Inkomensgevolgen uitgebreid'!AN62-'Tabellen Loonbelasting'!$B$26-1)))),0)</f>
        <v>0</v>
      </c>
      <c r="AO64" s="374">
        <f>IF(AO46&lt;&gt;"[leeg]",IF('Loonkosten uitgebreid'!$H$81&gt;'Tabellen Loonbelasting'!$B$5,IF(AO62&gt;='Tabellen Loonbelasting'!$B$22,0,IF(AO62&lt;'Tabellen Loonbelasting'!$B$21,'Tabellen Loonbelasting'!$C$20,'Tabellen Loonbelasting'!$C$20-'Tabellen Loonbelasting'!$C$21*('Inkomensgevolgen uitgebreid'!AO62-'Tabellen Loonbelasting'!$B$21-1))),IF(AO62&gt;='Tabellen Loonbelasting'!$B$27,0,IF(AO62&lt;'Tabellen Loonbelasting'!$B$26,'Tabellen Loonbelasting'!$C$25,'Tabellen Loonbelasting'!$C$25-'Tabellen Loonbelasting'!$C$26*('Inkomensgevolgen uitgebreid'!AO62-'Tabellen Loonbelasting'!$B$26-1)))),0)</f>
        <v>0</v>
      </c>
      <c r="AP64" s="374">
        <f>IF(AP46&lt;&gt;"[leeg]",IF('Loonkosten uitgebreid'!$H$81&gt;'Tabellen Loonbelasting'!$B$5,IF(AP62&gt;='Tabellen Loonbelasting'!$B$22,0,IF(AP62&lt;'Tabellen Loonbelasting'!$B$21,'Tabellen Loonbelasting'!$C$20,'Tabellen Loonbelasting'!$C$20-'Tabellen Loonbelasting'!$C$21*('Inkomensgevolgen uitgebreid'!AP62-'Tabellen Loonbelasting'!$B$21-1))),IF(AP62&gt;='Tabellen Loonbelasting'!$B$27,0,IF(AP62&lt;'Tabellen Loonbelasting'!$B$26,'Tabellen Loonbelasting'!$C$25,'Tabellen Loonbelasting'!$C$25-'Tabellen Loonbelasting'!$C$26*('Inkomensgevolgen uitgebreid'!AP62-'Tabellen Loonbelasting'!$B$26-1)))),0)</f>
        <v>0</v>
      </c>
      <c r="AQ64" s="374">
        <f>IF(AQ46&lt;&gt;"[leeg]",IF('Loonkosten uitgebreid'!$H$81&gt;'Tabellen Loonbelasting'!$B$5,IF(AQ62&gt;='Tabellen Loonbelasting'!$B$22,0,IF(AQ62&lt;'Tabellen Loonbelasting'!$B$21,'Tabellen Loonbelasting'!$C$20,'Tabellen Loonbelasting'!$C$20-'Tabellen Loonbelasting'!$C$21*('Inkomensgevolgen uitgebreid'!AQ62-'Tabellen Loonbelasting'!$B$21-1))),IF(AQ62&gt;='Tabellen Loonbelasting'!$B$27,0,IF(AQ62&lt;'Tabellen Loonbelasting'!$B$26,'Tabellen Loonbelasting'!$C$25,'Tabellen Loonbelasting'!$C$25-'Tabellen Loonbelasting'!$C$26*('Inkomensgevolgen uitgebreid'!AQ62-'Tabellen Loonbelasting'!$B$26-1)))),0)</f>
        <v>0</v>
      </c>
      <c r="AR64" s="374">
        <f>IF(AR46&lt;&gt;"[leeg]",IF('Loonkosten uitgebreid'!$H$81&gt;'Tabellen Loonbelasting'!$B$5,IF(AR62&gt;='Tabellen Loonbelasting'!$B$22,0,IF(AR62&lt;'Tabellen Loonbelasting'!$B$21,'Tabellen Loonbelasting'!$C$20,'Tabellen Loonbelasting'!$C$20-'Tabellen Loonbelasting'!$C$21*('Inkomensgevolgen uitgebreid'!AR62-'Tabellen Loonbelasting'!$B$21-1))),IF(AR62&gt;='Tabellen Loonbelasting'!$B$27,0,IF(AR62&lt;'Tabellen Loonbelasting'!$B$26,'Tabellen Loonbelasting'!$C$25,'Tabellen Loonbelasting'!$C$25-'Tabellen Loonbelasting'!$C$26*('Inkomensgevolgen uitgebreid'!AR62-'Tabellen Loonbelasting'!$B$26-1)))),0)</f>
        <v>0</v>
      </c>
      <c r="AS64" s="374">
        <f>IF(AS46&lt;&gt;"[leeg]",IF('Loonkosten uitgebreid'!$H$81&gt;'Tabellen Loonbelasting'!$B$5,IF(AS62&gt;='Tabellen Loonbelasting'!$B$22,0,IF(AS62&lt;'Tabellen Loonbelasting'!$B$21,'Tabellen Loonbelasting'!$C$20,'Tabellen Loonbelasting'!$C$20-'Tabellen Loonbelasting'!$C$21*('Inkomensgevolgen uitgebreid'!AS62-'Tabellen Loonbelasting'!$B$21-1))),IF(AS62&gt;='Tabellen Loonbelasting'!$B$27,0,IF(AS62&lt;'Tabellen Loonbelasting'!$B$26,'Tabellen Loonbelasting'!$C$25,'Tabellen Loonbelasting'!$C$25-'Tabellen Loonbelasting'!$C$26*('Inkomensgevolgen uitgebreid'!AS62-'Tabellen Loonbelasting'!$B$26-1)))),0)</f>
        <v>0</v>
      </c>
      <c r="AT64" s="374">
        <f>IF(AT46&lt;&gt;"[leeg]",IF('Loonkosten uitgebreid'!$H$81&gt;'Tabellen Loonbelasting'!$B$5,IF(AT62&gt;='Tabellen Loonbelasting'!$B$22,0,IF(AT62&lt;'Tabellen Loonbelasting'!$B$21,'Tabellen Loonbelasting'!$C$20,'Tabellen Loonbelasting'!$C$20-'Tabellen Loonbelasting'!$C$21*('Inkomensgevolgen uitgebreid'!AT62-'Tabellen Loonbelasting'!$B$21-1))),IF(AT62&gt;='Tabellen Loonbelasting'!$B$27,0,IF(AT62&lt;'Tabellen Loonbelasting'!$B$26,'Tabellen Loonbelasting'!$C$25,'Tabellen Loonbelasting'!$C$25-'Tabellen Loonbelasting'!$C$26*('Inkomensgevolgen uitgebreid'!AT62-'Tabellen Loonbelasting'!$B$26-1)))),0)</f>
        <v>0</v>
      </c>
    </row>
    <row r="65" spans="2:46" ht="16.5" thickTop="1" thickBot="1" x14ac:dyDescent="0.3">
      <c r="B65" s="104"/>
      <c r="C65" s="42" t="s">
        <v>33</v>
      </c>
      <c r="D65" s="374">
        <f>IF(Z65="p.m.","p.m.",Z65/12)</f>
        <v>443.85376377325002</v>
      </c>
      <c r="E65" s="374">
        <f t="shared" ref="E65:M65" si="82">IF(E$46&lt;&gt;"[leeg]",IF(AA65="p.m.","p.m.",AA65/12),0)</f>
        <v>447.31698477325</v>
      </c>
      <c r="F65" s="374">
        <f t="shared" si="82"/>
        <v>451.09038444514999</v>
      </c>
      <c r="G65" s="374">
        <f t="shared" si="82"/>
        <v>0</v>
      </c>
      <c r="H65" s="374">
        <f t="shared" si="82"/>
        <v>0</v>
      </c>
      <c r="I65" s="374">
        <f t="shared" si="82"/>
        <v>0</v>
      </c>
      <c r="J65" s="374">
        <f t="shared" si="82"/>
        <v>0</v>
      </c>
      <c r="K65" s="374">
        <f t="shared" si="82"/>
        <v>0</v>
      </c>
      <c r="L65" s="374">
        <f t="shared" si="82"/>
        <v>0</v>
      </c>
      <c r="M65" s="374">
        <f t="shared" si="82"/>
        <v>0</v>
      </c>
      <c r="N65" s="364"/>
      <c r="O65" s="374">
        <f>IF(AK65="p.m.","p.m.",AK65/12)</f>
        <v>605.07948131019998</v>
      </c>
      <c r="P65" s="374">
        <f t="shared" ref="P65" si="83">IF(P$46&lt;&gt;"[leeg]",IF(AL65="p.m.","p.m.",AL65/12),0)</f>
        <v>614.37170317150003</v>
      </c>
      <c r="Q65" s="374">
        <f t="shared" ref="Q65" si="84">IF(Q$46&lt;&gt;"[leeg]",IF(AM65="p.m.","p.m.",AM65/12),0)</f>
        <v>627.3384733101999</v>
      </c>
      <c r="R65" s="374">
        <f t="shared" ref="R65" si="85">IF(R$46&lt;&gt;"[leeg]",IF(AN65="p.m.","p.m.",AN65/12),0)</f>
        <v>0</v>
      </c>
      <c r="S65" s="374">
        <f t="shared" ref="S65" si="86">IF(S$46&lt;&gt;"[leeg]",IF(AO65="p.m.","p.m.",AO65/12),0)</f>
        <v>0</v>
      </c>
      <c r="T65" s="374">
        <f t="shared" ref="T65" si="87">IF(T$46&lt;&gt;"[leeg]",IF(AP65="p.m.","p.m.",AP65/12),0)</f>
        <v>0</v>
      </c>
      <c r="U65" s="374">
        <f t="shared" ref="U65" si="88">IF(U$46&lt;&gt;"[leeg]",IF(AQ65="p.m.","p.m.",AQ65/12),0)</f>
        <v>0</v>
      </c>
      <c r="V65" s="374">
        <f t="shared" ref="V65" si="89">IF(V$46&lt;&gt;"[leeg]",IF(AR65="p.m.","p.m.",AR65/12),0)</f>
        <v>0</v>
      </c>
      <c r="W65" s="374">
        <f t="shared" ref="W65" si="90">IF(W$46&lt;&gt;"[leeg]",IF(AS65="p.m.","p.m.",AS65/12),0)</f>
        <v>0</v>
      </c>
      <c r="X65" s="374">
        <f t="shared" ref="X65" si="91">IF(X$46&lt;&gt;"[leeg]",IF(AT65="p.m.","p.m.",AT65/12),0)</f>
        <v>0</v>
      </c>
      <c r="Y65" s="364"/>
      <c r="Z65" s="374">
        <f>IF('Loonkosten uitgebreid'!$H$81&gt;'Tabellen Loonbelasting'!$B$5,VLOOKUP(Z62,'Tabellen Loonbelasting'!$B$37:$E$41,2,TRUE)+VLOOKUP(Z62,'Tabellen Loonbelasting'!$B$37:$E$41,3,TRUE)*('Inkomensgevolgen uitgebreid'!Z62-VLOOKUP(Z62,'Tabellen Loonbelasting'!$B$37:$E$41,2,TRUE)),"p.m.")</f>
        <v>5326.2451652790005</v>
      </c>
      <c r="AA65" s="374">
        <f>IF(AA$46&lt;&gt;"[leeg]",IF('Loonkosten uitgebreid'!$H$81&gt;'Tabellen Loonbelasting'!$B$5,VLOOKUP(AA62,'Tabellen Loonbelasting'!$B$37:$E$41,2,TRUE)+VLOOKUP(AA62,'Tabellen Loonbelasting'!$B$37:$E$41,3,TRUE)*('Inkomensgevolgen uitgebreid'!AA62-VLOOKUP(AA62,'Tabellen Loonbelasting'!$B$37:$E$41,2,TRUE)),"p.m."),0)</f>
        <v>5367.8038172790002</v>
      </c>
      <c r="AB65" s="374">
        <f>IF(AB$46&lt;&gt;"[leeg]",IF('Loonkosten uitgebreid'!$H$81&gt;'Tabellen Loonbelasting'!$B$5,VLOOKUP(AB62,'Tabellen Loonbelasting'!$B$37:$E$41,2,TRUE)+VLOOKUP(AB62,'Tabellen Loonbelasting'!$B$37:$E$41,3,TRUE)*('Inkomensgevolgen uitgebreid'!AB62-VLOOKUP(AB62,'Tabellen Loonbelasting'!$B$37:$E$41,2,TRUE)),"p.m."),0)</f>
        <v>5413.0846133417999</v>
      </c>
      <c r="AC65" s="374">
        <f>IF(AC$46&lt;&gt;"[leeg]",IF('Loonkosten uitgebreid'!$H$81&gt;'Tabellen Loonbelasting'!$B$5,VLOOKUP(AC62,'Tabellen Loonbelasting'!$B$37:$E$41,2,TRUE)+VLOOKUP(AC62,'Tabellen Loonbelasting'!$B$37:$E$41,3,TRUE)*('Inkomensgevolgen uitgebreid'!AC62-VLOOKUP(AC62,'Tabellen Loonbelasting'!$B$37:$E$41,2,TRUE)),"p.m."),0)</f>
        <v>0</v>
      </c>
      <c r="AD65" s="374">
        <f>IF(AD$46&lt;&gt;"[leeg]",IF('Loonkosten uitgebreid'!$H$81&gt;'Tabellen Loonbelasting'!$B$5,VLOOKUP(AD62,'Tabellen Loonbelasting'!$B$37:$E$41,2,TRUE)+VLOOKUP(AD62,'Tabellen Loonbelasting'!$B$37:$E$41,3,TRUE)*('Inkomensgevolgen uitgebreid'!AD62-VLOOKUP(AD62,'Tabellen Loonbelasting'!$B$37:$E$41,2,TRUE)),"p.m."),0)</f>
        <v>0</v>
      </c>
      <c r="AE65" s="374">
        <f>IF(AE$46&lt;&gt;"[leeg]",IF('Loonkosten uitgebreid'!$H$81&gt;'Tabellen Loonbelasting'!$B$5,VLOOKUP(AE62,'Tabellen Loonbelasting'!$B$37:$E$41,2,TRUE)+VLOOKUP(AE62,'Tabellen Loonbelasting'!$B$37:$E$41,3,TRUE)*('Inkomensgevolgen uitgebreid'!AE62-VLOOKUP(AE62,'Tabellen Loonbelasting'!$B$37:$E$41,2,TRUE)),"p.m."),0)</f>
        <v>0</v>
      </c>
      <c r="AF65" s="374">
        <f>IF(AF$46&lt;&gt;"[leeg]",IF('Loonkosten uitgebreid'!$H$81&gt;'Tabellen Loonbelasting'!$B$5,VLOOKUP(AF62,'Tabellen Loonbelasting'!$B$37:$E$41,2,TRUE)+VLOOKUP(AF62,'Tabellen Loonbelasting'!$B$37:$E$41,3,TRUE)*('Inkomensgevolgen uitgebreid'!AF62-VLOOKUP(AF62,'Tabellen Loonbelasting'!$B$37:$E$41,2,TRUE)),"p.m."),0)</f>
        <v>0</v>
      </c>
      <c r="AG65" s="374">
        <f>IF(AG$46&lt;&gt;"[leeg]",IF('Loonkosten uitgebreid'!$H$81&gt;'Tabellen Loonbelasting'!$B$5,VLOOKUP(AG62,'Tabellen Loonbelasting'!$B$37:$E$41,2,TRUE)+VLOOKUP(AG62,'Tabellen Loonbelasting'!$B$37:$E$41,3,TRUE)*('Inkomensgevolgen uitgebreid'!AG62-VLOOKUP(AG62,'Tabellen Loonbelasting'!$B$37:$E$41,2,TRUE)),"p.m."),0)</f>
        <v>0</v>
      </c>
      <c r="AH65" s="374">
        <f>IF(AH$46&lt;&gt;"[leeg]",IF('Loonkosten uitgebreid'!$H$81&gt;'Tabellen Loonbelasting'!$B$5,VLOOKUP(AH62,'Tabellen Loonbelasting'!$B$37:$E$41,2,TRUE)+VLOOKUP(AH62,'Tabellen Loonbelasting'!$B$37:$E$41,3,TRUE)*('Inkomensgevolgen uitgebreid'!AH62-VLOOKUP(AH62,'Tabellen Loonbelasting'!$B$37:$E$41,2,TRUE)),"p.m."),0)</f>
        <v>0</v>
      </c>
      <c r="AI65" s="374">
        <f>IF(AI$46&lt;&gt;"[leeg]",IF('Loonkosten uitgebreid'!$H$81&gt;'Tabellen Loonbelasting'!$B$5,VLOOKUP(AI62,'Tabellen Loonbelasting'!$B$37:$E$41,2,TRUE)+VLOOKUP(AI62,'Tabellen Loonbelasting'!$B$37:$E$41,3,TRUE)*('Inkomensgevolgen uitgebreid'!AI62-VLOOKUP(AI62,'Tabellen Loonbelasting'!$B$37:$E$41,2,TRUE)),"p.m."),0)</f>
        <v>0</v>
      </c>
      <c r="AJ65" s="364"/>
      <c r="AK65" s="374">
        <f>IF('Loonkosten uitgebreid'!$H$81&gt;'Tabellen Loonbelasting'!$B$5,VLOOKUP(AK62,'Tabellen Loonbelasting'!$B$37:$E$41,2,TRUE)+VLOOKUP(AK62,'Tabellen Loonbelasting'!$B$37:$E$41,3,TRUE)*('Inkomensgevolgen uitgebreid'!AK62-VLOOKUP(AK62,'Tabellen Loonbelasting'!$B$37:$E$41,2,TRUE)),"p.m.")</f>
        <v>7260.9537757223998</v>
      </c>
      <c r="AL65" s="374">
        <f>IF(AL46&lt;&gt;"[leeg]",IF('Loonkosten uitgebreid'!$H$81&gt;'Tabellen Loonbelasting'!$B$5,VLOOKUP(AL62,'Tabellen Loonbelasting'!$B$37:$E$41,2,TRUE)+VLOOKUP(AL62,'Tabellen Loonbelasting'!$B$37:$E$41,3,TRUE)*('Inkomensgevolgen uitgebreid'!AL62-VLOOKUP(AL62,'Tabellen Loonbelasting'!$B$37:$E$41,2,TRUE)),"p.m."),0)</f>
        <v>7372.4604380580004</v>
      </c>
      <c r="AM65" s="374">
        <f>IF(AM46&lt;&gt;"[leeg]",IF('Loonkosten uitgebreid'!$H$81&gt;'Tabellen Loonbelasting'!$B$5,VLOOKUP(AM62,'Tabellen Loonbelasting'!$B$37:$E$41,2,TRUE)+VLOOKUP(AM62,'Tabellen Loonbelasting'!$B$37:$E$41,3,TRUE)*('Inkomensgevolgen uitgebreid'!AM62-VLOOKUP(AM62,'Tabellen Loonbelasting'!$B$37:$E$41,2,TRUE)),"p.m."),0)</f>
        <v>7528.0616797223993</v>
      </c>
      <c r="AN65" s="374">
        <f>IF(AN46&lt;&gt;"[leeg]",IF('Loonkosten uitgebreid'!$H$81&gt;'Tabellen Loonbelasting'!$B$5,VLOOKUP(AN62,'Tabellen Loonbelasting'!$B$37:$E$41,2,TRUE)+VLOOKUP(AN62,'Tabellen Loonbelasting'!$B$37:$E$41,3,TRUE)*('Inkomensgevolgen uitgebreid'!AN62-VLOOKUP(AN62,'Tabellen Loonbelasting'!$B$37:$E$41,2,TRUE)),"p.m."),0)</f>
        <v>0</v>
      </c>
      <c r="AO65" s="374">
        <f>IF(AO46&lt;&gt;"[leeg]",IF('Loonkosten uitgebreid'!$H$81&gt;'Tabellen Loonbelasting'!$B$5,VLOOKUP(AO62,'Tabellen Loonbelasting'!$B$37:$E$41,2,TRUE)+VLOOKUP(AO62,'Tabellen Loonbelasting'!$B$37:$E$41,3,TRUE)*('Inkomensgevolgen uitgebreid'!AO62-VLOOKUP(AO62,'Tabellen Loonbelasting'!$B$37:$E$41,2,TRUE)),"p.m."),0)</f>
        <v>0</v>
      </c>
      <c r="AP65" s="374">
        <f>IF(AP46&lt;&gt;"[leeg]",IF('Loonkosten uitgebreid'!$H$81&gt;'Tabellen Loonbelasting'!$B$5,VLOOKUP(AP62,'Tabellen Loonbelasting'!$B$37:$E$41,2,TRUE)+VLOOKUP(AP62,'Tabellen Loonbelasting'!$B$37:$E$41,3,TRUE)*('Inkomensgevolgen uitgebreid'!AP62-VLOOKUP(AP62,'Tabellen Loonbelasting'!$B$37:$E$41,2,TRUE)),"p.m."),0)</f>
        <v>0</v>
      </c>
      <c r="AQ65" s="374">
        <f>IF(AQ46&lt;&gt;"[leeg]",IF('Loonkosten uitgebreid'!$H$81&gt;'Tabellen Loonbelasting'!$B$5,VLOOKUP(AQ62,'Tabellen Loonbelasting'!$B$37:$E$41,2,TRUE)+VLOOKUP(AQ62,'Tabellen Loonbelasting'!$B$37:$E$41,3,TRUE)*('Inkomensgevolgen uitgebreid'!AQ62-VLOOKUP(AQ62,'Tabellen Loonbelasting'!$B$37:$E$41,2,TRUE)),"p.m."),0)</f>
        <v>0</v>
      </c>
      <c r="AR65" s="374">
        <f>IF(AR46&lt;&gt;"[leeg]",IF('Loonkosten uitgebreid'!$H$81&gt;'Tabellen Loonbelasting'!$B$5,VLOOKUP(AR62,'Tabellen Loonbelasting'!$B$37:$E$41,2,TRUE)+VLOOKUP(AR62,'Tabellen Loonbelasting'!$B$37:$E$41,3,TRUE)*('Inkomensgevolgen uitgebreid'!AR62-VLOOKUP(AR62,'Tabellen Loonbelasting'!$B$37:$E$41,2,TRUE)),"p.m."),0)</f>
        <v>0</v>
      </c>
      <c r="AS65" s="374">
        <f>IF(AS46&lt;&gt;"[leeg]",IF('Loonkosten uitgebreid'!$H$81&gt;'Tabellen Loonbelasting'!$B$5,VLOOKUP(AS62,'Tabellen Loonbelasting'!$B$37:$E$41,2,TRUE)+VLOOKUP(AS62,'Tabellen Loonbelasting'!$B$37:$E$41,3,TRUE)*('Inkomensgevolgen uitgebreid'!AS62-VLOOKUP(AS62,'Tabellen Loonbelasting'!$B$37:$E$41,2,TRUE)),"p.m."),0)</f>
        <v>0</v>
      </c>
      <c r="AT65" s="374">
        <f>IF(AT46&lt;&gt;"[leeg]",IF('Loonkosten uitgebreid'!$H$81&gt;'Tabellen Loonbelasting'!$B$5,VLOOKUP(AT62,'Tabellen Loonbelasting'!$B$37:$E$41,2,TRUE)+VLOOKUP(AT62,'Tabellen Loonbelasting'!$B$37:$E$41,3,TRUE)*('Inkomensgevolgen uitgebreid'!AT62-VLOOKUP(AT62,'Tabellen Loonbelasting'!$B$37:$E$41,2,TRUE)),"p.m."),0)</f>
        <v>0</v>
      </c>
    </row>
    <row r="66" spans="2:46" s="369" customFormat="1" ht="16.5" thickTop="1" thickBot="1" x14ac:dyDescent="0.3">
      <c r="B66" s="365"/>
      <c r="C66" s="365" t="s">
        <v>111</v>
      </c>
      <c r="D66" s="375">
        <f>MAX(D63-D64-IF(D65&lt;&gt;"p.m.",D65,0),0)</f>
        <v>188.55533227966674</v>
      </c>
      <c r="E66" s="375">
        <f>MAX(E63-E64-IF(E65&lt;&gt;"p.m.",E65,0),0)</f>
        <v>233.39197627966684</v>
      </c>
      <c r="F66" s="375">
        <f t="shared" ref="F66:M66" si="92">MAX(F63-F64-IF(F65&lt;&gt;"p.m.",F65,0),0)</f>
        <v>282.24435323126681</v>
      </c>
      <c r="G66" s="375">
        <f t="shared" si="92"/>
        <v>0</v>
      </c>
      <c r="H66" s="375">
        <f t="shared" si="92"/>
        <v>0</v>
      </c>
      <c r="I66" s="375">
        <f t="shared" si="92"/>
        <v>0</v>
      </c>
      <c r="J66" s="375">
        <f t="shared" si="92"/>
        <v>0</v>
      </c>
      <c r="K66" s="375">
        <f t="shared" si="92"/>
        <v>0</v>
      </c>
      <c r="L66" s="375">
        <f t="shared" si="92"/>
        <v>0</v>
      </c>
      <c r="M66" s="375">
        <f t="shared" si="92"/>
        <v>0</v>
      </c>
      <c r="N66" s="368"/>
      <c r="O66" s="375">
        <f>MAX(O63-O64-IF(O65&lt;&gt;"p.m.",O65,0),0)</f>
        <v>421.71124566696653</v>
      </c>
      <c r="P66" s="375">
        <f>MAX(P63-P64-IF(P65&lt;&gt;"p.m.",P65,0),0)</f>
        <v>473.83190331141645</v>
      </c>
      <c r="Q66" s="375">
        <f t="shared" ref="Q66:X66" si="93">MAX(Q63-Q64-IF(Q65&lt;&gt;"p.m.",Q65,0),0)</f>
        <v>546.56333366696674</v>
      </c>
      <c r="R66" s="375">
        <f t="shared" si="93"/>
        <v>0</v>
      </c>
      <c r="S66" s="375">
        <f t="shared" si="93"/>
        <v>0</v>
      </c>
      <c r="T66" s="375">
        <f t="shared" si="93"/>
        <v>0</v>
      </c>
      <c r="U66" s="375">
        <f t="shared" si="93"/>
        <v>0</v>
      </c>
      <c r="V66" s="375">
        <f t="shared" si="93"/>
        <v>0</v>
      </c>
      <c r="W66" s="375">
        <f t="shared" si="93"/>
        <v>0</v>
      </c>
      <c r="X66" s="375">
        <f t="shared" si="93"/>
        <v>0</v>
      </c>
      <c r="Y66" s="368"/>
      <c r="Z66" s="375">
        <f>MAX(Z63-Z64-IF(Z65&lt;&gt;"p.m.",Z65,0),0)</f>
        <v>2262.6639873559998</v>
      </c>
      <c r="AA66" s="375">
        <f>MAX(AA63-AA64-IF(AA65&lt;&gt;"p.m.",AA65,0),0)</f>
        <v>2800.7037153560013</v>
      </c>
      <c r="AB66" s="375">
        <f t="shared" ref="AB66:AI66" si="94">MAX(AB63-AB64-IF(AB65&lt;&gt;"p.m.",AB65,0),0)</f>
        <v>3386.9322387752018</v>
      </c>
      <c r="AC66" s="375">
        <f t="shared" si="94"/>
        <v>0</v>
      </c>
      <c r="AD66" s="375">
        <f t="shared" si="94"/>
        <v>0</v>
      </c>
      <c r="AE66" s="375">
        <f t="shared" si="94"/>
        <v>0</v>
      </c>
      <c r="AF66" s="375">
        <f t="shared" si="94"/>
        <v>0</v>
      </c>
      <c r="AG66" s="375">
        <f t="shared" si="94"/>
        <v>0</v>
      </c>
      <c r="AH66" s="375">
        <f t="shared" si="94"/>
        <v>0</v>
      </c>
      <c r="AI66" s="375">
        <f t="shared" si="94"/>
        <v>0</v>
      </c>
      <c r="AJ66" s="368"/>
      <c r="AK66" s="375">
        <f>MAX(AK63-AK64-IF(AK65&lt;&gt;"p.m.",AK65,0),0)</f>
        <v>5060.5349480035993</v>
      </c>
      <c r="AL66" s="375">
        <f>MAX(AL63-AL64-IF(AL65&lt;&gt;"p.m.",AL65,0),0)</f>
        <v>5685.9828397369965</v>
      </c>
      <c r="AM66" s="375">
        <f t="shared" ref="AM66:AT66" si="95">MAX(AM63-AM64-IF(AM65&lt;&gt;"p.m.",AM65,0),0)</f>
        <v>6558.7600040035995</v>
      </c>
      <c r="AN66" s="375">
        <f t="shared" si="95"/>
        <v>0</v>
      </c>
      <c r="AO66" s="375">
        <f t="shared" si="95"/>
        <v>0</v>
      </c>
      <c r="AP66" s="375">
        <f t="shared" si="95"/>
        <v>0</v>
      </c>
      <c r="AQ66" s="375">
        <f t="shared" si="95"/>
        <v>0</v>
      </c>
      <c r="AR66" s="375">
        <f t="shared" si="95"/>
        <v>0</v>
      </c>
      <c r="AS66" s="375">
        <f t="shared" si="95"/>
        <v>0</v>
      </c>
      <c r="AT66" s="375">
        <f t="shared" si="95"/>
        <v>0</v>
      </c>
    </row>
    <row r="67" spans="2:46" ht="15.75" thickTop="1" x14ac:dyDescent="0.25">
      <c r="B67" s="365"/>
      <c r="C67" s="365"/>
      <c r="D67" s="104"/>
      <c r="E67" s="104"/>
      <c r="F67" s="104"/>
      <c r="G67" s="104"/>
      <c r="H67" s="104"/>
      <c r="I67" s="104"/>
      <c r="J67" s="104"/>
      <c r="K67" s="104"/>
      <c r="L67" s="104"/>
      <c r="M67" s="104"/>
      <c r="N67" s="364"/>
      <c r="O67" s="104"/>
      <c r="P67" s="104"/>
      <c r="Q67" s="104"/>
      <c r="R67" s="104"/>
      <c r="S67" s="104"/>
      <c r="T67" s="104"/>
      <c r="U67" s="104"/>
      <c r="V67" s="104"/>
      <c r="W67" s="104"/>
      <c r="X67" s="104"/>
      <c r="Y67" s="364"/>
      <c r="Z67" s="104"/>
      <c r="AA67" s="104"/>
      <c r="AB67" s="104"/>
      <c r="AC67" s="104"/>
      <c r="AD67" s="104"/>
      <c r="AE67" s="104"/>
      <c r="AF67" s="104"/>
      <c r="AG67" s="104"/>
      <c r="AH67" s="104"/>
      <c r="AI67" s="104"/>
      <c r="AJ67" s="364"/>
      <c r="AK67" s="104"/>
      <c r="AL67" s="104"/>
      <c r="AM67" s="104"/>
      <c r="AN67" s="104"/>
      <c r="AO67" s="104"/>
      <c r="AP67" s="104"/>
      <c r="AQ67" s="104"/>
      <c r="AR67" s="104"/>
      <c r="AS67" s="104"/>
      <c r="AT67" s="104"/>
    </row>
    <row r="68" spans="2:46" ht="15.75" thickBot="1" x14ac:dyDescent="0.3">
      <c r="B68" s="104"/>
      <c r="C68" s="42" t="s">
        <v>146</v>
      </c>
      <c r="D68" s="104"/>
      <c r="E68" s="104"/>
      <c r="F68" s="104"/>
      <c r="G68" s="104"/>
      <c r="H68" s="104"/>
      <c r="I68" s="104"/>
      <c r="J68" s="104"/>
      <c r="K68" s="104"/>
      <c r="L68" s="104"/>
      <c r="M68" s="104"/>
      <c r="N68" s="364"/>
      <c r="O68" s="104"/>
      <c r="P68" s="104"/>
      <c r="Q68" s="104"/>
      <c r="R68" s="104"/>
      <c r="S68" s="104"/>
      <c r="T68" s="104"/>
      <c r="U68" s="104"/>
      <c r="V68" s="104"/>
      <c r="W68" s="104"/>
      <c r="X68" s="104"/>
      <c r="Y68" s="364"/>
      <c r="Z68" s="104"/>
      <c r="AA68" s="104"/>
      <c r="AB68" s="104"/>
      <c r="AC68" s="104"/>
      <c r="AD68" s="104"/>
      <c r="AE68" s="104"/>
      <c r="AF68" s="104"/>
      <c r="AG68" s="104"/>
      <c r="AH68" s="104"/>
      <c r="AI68" s="104"/>
      <c r="AJ68" s="364"/>
      <c r="AK68" s="104"/>
      <c r="AL68" s="104"/>
      <c r="AM68" s="104"/>
      <c r="AN68" s="104"/>
      <c r="AO68" s="104"/>
      <c r="AP68" s="104"/>
      <c r="AQ68" s="104"/>
      <c r="AR68" s="104"/>
      <c r="AS68" s="104"/>
      <c r="AT68" s="104"/>
    </row>
    <row r="69" spans="2:46" s="369" customFormat="1" ht="16.5" thickTop="1" thickBot="1" x14ac:dyDescent="0.3">
      <c r="B69" s="365"/>
      <c r="C69" s="365" t="s">
        <v>110</v>
      </c>
      <c r="D69" s="375">
        <f>D48-D55-D66</f>
        <v>1997.4328127203335</v>
      </c>
      <c r="E69" s="375">
        <f>E48-E55-E66</f>
        <v>2064.8561687203332</v>
      </c>
      <c r="F69" s="375">
        <f t="shared" ref="F69:M69" si="96">F48-F55-F66</f>
        <v>2130.8182057687332</v>
      </c>
      <c r="G69" s="375">
        <f t="shared" si="96"/>
        <v>0</v>
      </c>
      <c r="H69" s="375">
        <f t="shared" si="96"/>
        <v>0</v>
      </c>
      <c r="I69" s="375">
        <f t="shared" si="96"/>
        <v>0</v>
      </c>
      <c r="J69" s="375">
        <f t="shared" si="96"/>
        <v>0</v>
      </c>
      <c r="K69" s="375">
        <f t="shared" si="96"/>
        <v>0</v>
      </c>
      <c r="L69" s="375">
        <f t="shared" si="96"/>
        <v>0</v>
      </c>
      <c r="M69" s="375">
        <f t="shared" si="96"/>
        <v>0</v>
      </c>
      <c r="N69" s="368"/>
      <c r="O69" s="375">
        <f>O48-O55-O66</f>
        <v>2623.5105563330335</v>
      </c>
      <c r="P69" s="375">
        <f>P48-P55-P66</f>
        <v>2715.0275616885829</v>
      </c>
      <c r="Q69" s="375">
        <f t="shared" ref="Q69:X69" si="97">Q48-Q55-Q66</f>
        <v>2830.0784683330335</v>
      </c>
      <c r="R69" s="375">
        <f t="shared" si="97"/>
        <v>0</v>
      </c>
      <c r="S69" s="375">
        <f t="shared" si="97"/>
        <v>0</v>
      </c>
      <c r="T69" s="375">
        <f t="shared" si="97"/>
        <v>0</v>
      </c>
      <c r="U69" s="375">
        <f t="shared" si="97"/>
        <v>0</v>
      </c>
      <c r="V69" s="375">
        <f t="shared" si="97"/>
        <v>0</v>
      </c>
      <c r="W69" s="375">
        <f t="shared" si="97"/>
        <v>0</v>
      </c>
      <c r="X69" s="375">
        <f t="shared" si="97"/>
        <v>0</v>
      </c>
      <c r="Y69" s="368"/>
      <c r="Z69" s="375">
        <f>Z48-Z55-Z66</f>
        <v>23969.193752644002</v>
      </c>
      <c r="AA69" s="375">
        <f>AA48-AA55-AA66</f>
        <v>24778.274024644001</v>
      </c>
      <c r="AB69" s="375">
        <f t="shared" ref="AB69:AI69" si="98">AB48-AB55-AB66</f>
        <v>25569.818469224796</v>
      </c>
      <c r="AC69" s="375">
        <f t="shared" si="98"/>
        <v>0</v>
      </c>
      <c r="AD69" s="375">
        <f t="shared" si="98"/>
        <v>0</v>
      </c>
      <c r="AE69" s="375">
        <f t="shared" si="98"/>
        <v>0</v>
      </c>
      <c r="AF69" s="375">
        <f t="shared" si="98"/>
        <v>0</v>
      </c>
      <c r="AG69" s="375">
        <f t="shared" si="98"/>
        <v>0</v>
      </c>
      <c r="AH69" s="375">
        <f t="shared" si="98"/>
        <v>0</v>
      </c>
      <c r="AI69" s="375">
        <f t="shared" si="98"/>
        <v>0</v>
      </c>
      <c r="AJ69" s="368"/>
      <c r="AK69" s="375">
        <f>AK48-AK55-AK66</f>
        <v>31482.126675996395</v>
      </c>
      <c r="AL69" s="375">
        <f t="shared" ref="AL69:AT69" si="99">AL48-AL55-AL66</f>
        <v>32580.330740262998</v>
      </c>
      <c r="AM69" s="375">
        <f t="shared" si="99"/>
        <v>33960.941619996396</v>
      </c>
      <c r="AN69" s="375">
        <f t="shared" si="99"/>
        <v>0</v>
      </c>
      <c r="AO69" s="375">
        <f t="shared" si="99"/>
        <v>0</v>
      </c>
      <c r="AP69" s="375">
        <f t="shared" si="99"/>
        <v>0</v>
      </c>
      <c r="AQ69" s="375">
        <f t="shared" si="99"/>
        <v>0</v>
      </c>
      <c r="AR69" s="375">
        <f t="shared" si="99"/>
        <v>0</v>
      </c>
      <c r="AS69" s="375">
        <f t="shared" si="99"/>
        <v>0</v>
      </c>
      <c r="AT69" s="375">
        <f t="shared" si="99"/>
        <v>0</v>
      </c>
    </row>
    <row r="70" spans="2:46" ht="15.75" thickTop="1" x14ac:dyDescent="0.25">
      <c r="B70" s="104"/>
      <c r="C70" s="104"/>
      <c r="D70" s="104"/>
      <c r="E70" s="104"/>
      <c r="F70" s="104"/>
      <c r="G70" s="104"/>
      <c r="H70" s="104"/>
      <c r="I70" s="104"/>
      <c r="J70" s="104"/>
      <c r="K70" s="104"/>
      <c r="L70" s="104"/>
      <c r="M70" s="104"/>
      <c r="N70" s="364"/>
      <c r="O70" s="364"/>
      <c r="P70" s="364"/>
      <c r="Q70" s="364"/>
      <c r="R70" s="364"/>
      <c r="S70" s="364"/>
      <c r="T70" s="364"/>
      <c r="U70" s="364"/>
      <c r="V70" s="364"/>
      <c r="W70" s="364"/>
      <c r="X70" s="364"/>
      <c r="Y70" s="364"/>
      <c r="Z70" s="104"/>
      <c r="AA70" s="104"/>
      <c r="AB70" s="104"/>
      <c r="AC70" s="104"/>
      <c r="AD70" s="104"/>
      <c r="AE70" s="104"/>
      <c r="AF70" s="104"/>
      <c r="AG70" s="104"/>
      <c r="AH70" s="104"/>
      <c r="AI70" s="104"/>
      <c r="AJ70" s="364"/>
      <c r="AK70" s="104"/>
      <c r="AL70" s="104"/>
      <c r="AM70" s="104"/>
      <c r="AN70" s="104"/>
      <c r="AO70" s="104"/>
      <c r="AP70" s="104"/>
      <c r="AQ70" s="104"/>
      <c r="AR70" s="104"/>
      <c r="AS70" s="104"/>
      <c r="AT70" s="104"/>
    </row>
    <row r="72" spans="2:46" x14ac:dyDescent="0.25">
      <c r="O72" s="371"/>
    </row>
  </sheetData>
  <sheetProtection algorithmName="SHA-512" hashValue="70mq2hh2t0oivBnGYZ2m7oBQYddJ7FaNb6F1BQRR0DRdck7lGZO2Sje/sevEKyRHpK7IuFASFoUbSlNPgEhRXw==" saltValue="bjHZAnUE07wJHkqZJtzYyA==" spinCount="100000" sheet="1" objects="1" scenarios="1"/>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09"/>
  <sheetViews>
    <sheetView workbookViewId="0">
      <selection activeCell="A4" sqref="A4:C4"/>
    </sheetView>
  </sheetViews>
  <sheetFormatPr defaultColWidth="9.140625" defaultRowHeight="12" x14ac:dyDescent="0.2"/>
  <cols>
    <col min="1" max="1" width="30.85546875" style="403" customWidth="1"/>
    <col min="2" max="2" width="19.42578125" style="403" bestFit="1" customWidth="1"/>
    <col min="3" max="3" width="13" style="403" customWidth="1"/>
    <col min="4" max="5" width="10.7109375" style="403" customWidth="1"/>
    <col min="6" max="6" width="12.140625" style="403" customWidth="1"/>
    <col min="7" max="7" width="15.140625" style="403" bestFit="1" customWidth="1"/>
    <col min="8" max="10" width="10.7109375" style="403" customWidth="1"/>
    <col min="11" max="11" width="7.85546875" style="403" customWidth="1"/>
    <col min="12" max="12" width="8" style="403" customWidth="1"/>
    <col min="13" max="13" width="8.5703125" style="403" customWidth="1"/>
    <col min="14" max="22" width="10.7109375" style="403" customWidth="1"/>
    <col min="23" max="23" width="9.140625" style="403"/>
    <col min="24" max="38" width="9.140625" style="404"/>
    <col min="39" max="16384" width="9.140625" style="403"/>
  </cols>
  <sheetData>
    <row r="1" spans="1:19" ht="18.75" x14ac:dyDescent="0.3">
      <c r="A1" s="402" t="s">
        <v>293</v>
      </c>
    </row>
    <row r="2" spans="1:19" ht="18.75" x14ac:dyDescent="0.3">
      <c r="A2" s="402"/>
    </row>
    <row r="4" spans="1:19" x14ac:dyDescent="0.2">
      <c r="A4" s="403" t="s">
        <v>76</v>
      </c>
      <c r="B4" s="405">
        <v>2023</v>
      </c>
      <c r="C4" s="406" t="s">
        <v>344</v>
      </c>
      <c r="E4" s="403" t="s">
        <v>60</v>
      </c>
      <c r="F4" s="407">
        <f ca="1">NOW()</f>
        <v>44951.455026851851</v>
      </c>
      <c r="G4" s="491" t="s">
        <v>345</v>
      </c>
      <c r="J4" s="403" t="s">
        <v>346</v>
      </c>
    </row>
    <row r="5" spans="1:19" x14ac:dyDescent="0.2">
      <c r="A5" s="403" t="s">
        <v>38</v>
      </c>
      <c r="B5" s="406" t="s">
        <v>294</v>
      </c>
    </row>
    <row r="7" spans="1:19" x14ac:dyDescent="0.2">
      <c r="A7" s="408" t="s">
        <v>12</v>
      </c>
      <c r="B7" s="409" t="str">
        <f>C4 &amp; B4</f>
        <v>vanaf 1 januari 2023</v>
      </c>
    </row>
    <row r="8" spans="1:19" x14ac:dyDescent="0.2">
      <c r="A8" s="408"/>
      <c r="B8" s="408"/>
      <c r="C8" s="403" t="s">
        <v>10</v>
      </c>
      <c r="D8" s="403" t="s">
        <v>11</v>
      </c>
      <c r="E8" s="403" t="s">
        <v>28</v>
      </c>
      <c r="F8" s="403" t="s">
        <v>29</v>
      </c>
      <c r="G8" s="403" t="s">
        <v>295</v>
      </c>
      <c r="H8" s="403" t="s">
        <v>13</v>
      </c>
      <c r="J8" s="403" t="s">
        <v>54</v>
      </c>
    </row>
    <row r="9" spans="1:19" x14ac:dyDescent="0.2">
      <c r="A9" s="410" t="s">
        <v>9</v>
      </c>
      <c r="C9" s="411">
        <v>0.1953</v>
      </c>
      <c r="D9" s="412">
        <v>8.3699999999999997E-2</v>
      </c>
      <c r="E9" s="492">
        <v>16350</v>
      </c>
      <c r="F9" s="413">
        <f>+E9/12</f>
        <v>1362.5</v>
      </c>
      <c r="J9" s="403" t="s">
        <v>347</v>
      </c>
      <c r="Q9" s="414"/>
    </row>
    <row r="10" spans="1:19" x14ac:dyDescent="0.2">
      <c r="A10" s="410" t="s">
        <v>36</v>
      </c>
      <c r="C10" s="412">
        <v>5.5999999999999999E-3</v>
      </c>
      <c r="D10" s="412">
        <v>2.3999999999999998E-3</v>
      </c>
      <c r="E10" s="492">
        <v>25050</v>
      </c>
      <c r="F10" s="413">
        <f>+E10/12</f>
        <v>2087.5</v>
      </c>
      <c r="J10" s="403" t="s">
        <v>347</v>
      </c>
      <c r="Q10" s="414"/>
    </row>
    <row r="11" spans="1:19" x14ac:dyDescent="0.2">
      <c r="A11" s="410" t="s">
        <v>348</v>
      </c>
      <c r="C11" s="411">
        <v>0</v>
      </c>
      <c r="D11" s="411">
        <v>0</v>
      </c>
      <c r="E11" s="415"/>
      <c r="F11" s="415"/>
      <c r="J11" s="403" t="s">
        <v>347</v>
      </c>
      <c r="Q11" s="414"/>
    </row>
    <row r="12" spans="1:19" x14ac:dyDescent="0.2">
      <c r="A12" s="416" t="s">
        <v>296</v>
      </c>
      <c r="C12" s="417">
        <v>7.1099999999999997E-2</v>
      </c>
      <c r="D12" s="418"/>
      <c r="E12" s="418"/>
      <c r="F12" s="418"/>
      <c r="G12" s="493">
        <v>59706</v>
      </c>
      <c r="H12" s="493">
        <f>G12/12</f>
        <v>4975.5</v>
      </c>
      <c r="J12" s="420" t="s">
        <v>349</v>
      </c>
      <c r="R12" s="421"/>
      <c r="S12" s="5"/>
    </row>
    <row r="13" spans="1:19" x14ac:dyDescent="0.2">
      <c r="A13" s="416" t="s">
        <v>91</v>
      </c>
      <c r="C13" s="417">
        <f>0.0102+0.0016</f>
        <v>1.1800000000000001E-2</v>
      </c>
      <c r="D13" s="418"/>
      <c r="E13" s="418"/>
      <c r="F13" s="418"/>
      <c r="G13" s="422">
        <f>+G12</f>
        <v>59706</v>
      </c>
      <c r="H13" s="422">
        <f>H12</f>
        <v>4975.5</v>
      </c>
      <c r="J13" s="6" t="s">
        <v>350</v>
      </c>
      <c r="K13" s="6"/>
      <c r="L13" s="6"/>
      <c r="M13" s="6"/>
      <c r="N13" s="6"/>
      <c r="O13" s="6"/>
      <c r="P13" s="6"/>
      <c r="Q13" s="6"/>
      <c r="R13" s="6"/>
      <c r="S13" s="5"/>
    </row>
    <row r="14" spans="1:19" ht="12.75" x14ac:dyDescent="0.2">
      <c r="A14" s="416" t="s">
        <v>26</v>
      </c>
      <c r="C14" s="411">
        <v>6.6799999999999998E-2</v>
      </c>
      <c r="E14" s="415"/>
      <c r="F14" s="415"/>
      <c r="G14" s="422">
        <f>+G12</f>
        <v>59706</v>
      </c>
      <c r="H14" s="422">
        <f>H13</f>
        <v>4975.5</v>
      </c>
      <c r="J14" s="423"/>
      <c r="R14" s="421"/>
      <c r="S14" s="5"/>
    </row>
    <row r="15" spans="1:19" x14ac:dyDescent="0.2">
      <c r="A15" s="416" t="s">
        <v>297</v>
      </c>
      <c r="C15" s="411">
        <v>6.7999999999999996E-3</v>
      </c>
      <c r="D15" s="418"/>
      <c r="E15" s="418"/>
      <c r="F15" s="418"/>
      <c r="G15" s="422">
        <f>+G12</f>
        <v>59706</v>
      </c>
      <c r="H15" s="422">
        <f>H14</f>
        <v>4975.5</v>
      </c>
      <c r="J15" s="154" t="s">
        <v>225</v>
      </c>
      <c r="S15" s="5"/>
    </row>
    <row r="16" spans="1:19" ht="12.75" x14ac:dyDescent="0.2">
      <c r="A16" s="403">
        <v>1</v>
      </c>
      <c r="B16" s="403" t="s">
        <v>50</v>
      </c>
      <c r="C16" s="411">
        <v>0</v>
      </c>
      <c r="D16" s="424" t="s">
        <v>40</v>
      </c>
      <c r="E16" s="418"/>
      <c r="F16" s="418"/>
      <c r="G16" s="415"/>
      <c r="H16" s="415"/>
      <c r="J16" s="423" t="s">
        <v>351</v>
      </c>
    </row>
    <row r="17" spans="1:40" x14ac:dyDescent="0.2">
      <c r="A17" s="403">
        <v>2</v>
      </c>
      <c r="B17" s="403" t="s">
        <v>298</v>
      </c>
      <c r="C17" s="411">
        <v>4.4999999999999998E-2</v>
      </c>
      <c r="D17" s="424" t="s">
        <v>41</v>
      </c>
      <c r="E17" s="418"/>
      <c r="F17" s="418"/>
      <c r="G17" s="415"/>
      <c r="H17" s="415"/>
      <c r="J17" s="415" t="s">
        <v>53</v>
      </c>
    </row>
    <row r="18" spans="1:40" x14ac:dyDescent="0.2">
      <c r="A18" s="403">
        <v>3</v>
      </c>
      <c r="B18" s="403" t="s">
        <v>46</v>
      </c>
      <c r="C18" s="411">
        <v>2.75E-2</v>
      </c>
      <c r="D18" s="424" t="s">
        <v>42</v>
      </c>
      <c r="E18" s="418"/>
      <c r="F18" s="418"/>
      <c r="H18" s="415"/>
      <c r="J18" s="415" t="s">
        <v>53</v>
      </c>
      <c r="S18" s="7"/>
    </row>
    <row r="19" spans="1:40" x14ac:dyDescent="0.2">
      <c r="A19" s="403">
        <v>4</v>
      </c>
      <c r="B19" s="403" t="s">
        <v>47</v>
      </c>
      <c r="C19" s="411">
        <v>2.2499999999999999E-2</v>
      </c>
      <c r="D19" s="424" t="s">
        <v>43</v>
      </c>
      <c r="E19" s="418"/>
      <c r="F19" s="418"/>
      <c r="H19" s="415"/>
      <c r="J19" s="415" t="s">
        <v>53</v>
      </c>
    </row>
    <row r="20" spans="1:40" x14ac:dyDescent="0.2">
      <c r="A20" s="403">
        <v>5</v>
      </c>
      <c r="B20" s="403" t="s">
        <v>48</v>
      </c>
      <c r="C20" s="411">
        <v>3.0000000000000001E-3</v>
      </c>
      <c r="D20" s="424" t="s">
        <v>67</v>
      </c>
      <c r="E20" s="418"/>
      <c r="F20" s="418"/>
      <c r="H20" s="415"/>
      <c r="J20" s="415" t="s">
        <v>53</v>
      </c>
    </row>
    <row r="21" spans="1:40" x14ac:dyDescent="0.2">
      <c r="A21" s="403">
        <v>6</v>
      </c>
      <c r="B21" s="403" t="s">
        <v>49</v>
      </c>
      <c r="C21" s="417">
        <v>1E-3</v>
      </c>
      <c r="D21" s="424" t="s">
        <v>68</v>
      </c>
      <c r="E21" s="418"/>
      <c r="F21" s="418"/>
      <c r="H21" s="415"/>
      <c r="J21" s="415" t="s">
        <v>53</v>
      </c>
    </row>
    <row r="22" spans="1:40" x14ac:dyDescent="0.2">
      <c r="A22" s="403">
        <v>7</v>
      </c>
      <c r="B22" s="403" t="s">
        <v>299</v>
      </c>
      <c r="C22" s="417">
        <v>0</v>
      </c>
      <c r="D22" s="424" t="s">
        <v>69</v>
      </c>
      <c r="E22" s="418"/>
      <c r="F22" s="418"/>
      <c r="H22" s="415"/>
      <c r="J22" s="415" t="s">
        <v>53</v>
      </c>
    </row>
    <row r="23" spans="1:40" x14ac:dyDescent="0.2">
      <c r="A23" s="425" t="s">
        <v>19</v>
      </c>
      <c r="C23" s="411">
        <v>2.4E-2</v>
      </c>
      <c r="D23" s="418"/>
      <c r="E23" s="418"/>
      <c r="F23" s="418"/>
      <c r="H23" s="415"/>
      <c r="J23" s="415" t="s">
        <v>53</v>
      </c>
    </row>
    <row r="24" spans="1:40" x14ac:dyDescent="0.2">
      <c r="B24" s="403" t="s">
        <v>300</v>
      </c>
      <c r="C24" s="421">
        <f>SUM(C9:C16)+C23</f>
        <v>0.38140000000000002</v>
      </c>
      <c r="D24" s="421">
        <f>SUM(D9:D21)</f>
        <v>8.6099999999999996E-2</v>
      </c>
      <c r="E24" s="421">
        <f>SUM(C24:D24)</f>
        <v>0.46750000000000003</v>
      </c>
      <c r="J24" s="415"/>
    </row>
    <row r="25" spans="1:40" x14ac:dyDescent="0.2">
      <c r="J25" s="426"/>
      <c r="S25" s="5"/>
    </row>
    <row r="26" spans="1:40" x14ac:dyDescent="0.2">
      <c r="A26" s="408" t="s">
        <v>301</v>
      </c>
      <c r="B26" s="403" t="s">
        <v>302</v>
      </c>
      <c r="C26" s="419">
        <v>35.68</v>
      </c>
      <c r="G26" s="427"/>
    </row>
    <row r="27" spans="1:40" x14ac:dyDescent="0.2">
      <c r="B27" s="403" t="s">
        <v>303</v>
      </c>
      <c r="C27" s="419">
        <v>31.3</v>
      </c>
    </row>
    <row r="28" spans="1:40" x14ac:dyDescent="0.2">
      <c r="B28" s="403" t="s">
        <v>304</v>
      </c>
      <c r="C28" s="419">
        <v>56.99</v>
      </c>
    </row>
    <row r="29" spans="1:40" x14ac:dyDescent="0.2">
      <c r="B29" s="403" t="s">
        <v>305</v>
      </c>
      <c r="C29" s="419">
        <v>28.19</v>
      </c>
    </row>
    <row r="30" spans="1:40" x14ac:dyDescent="0.2">
      <c r="C30" s="428"/>
    </row>
    <row r="31" spans="1:40" hidden="1" x14ac:dyDescent="0.2">
      <c r="A31" s="408" t="s">
        <v>58</v>
      </c>
      <c r="C31" s="429">
        <v>0</v>
      </c>
      <c r="E31" s="430"/>
      <c r="F31" s="430"/>
      <c r="G31" s="430"/>
      <c r="H31" s="430"/>
      <c r="I31" s="430"/>
      <c r="J31" s="430"/>
      <c r="K31" s="430"/>
      <c r="L31" s="430"/>
      <c r="M31" s="430"/>
      <c r="N31" s="430"/>
      <c r="O31" s="430"/>
      <c r="X31" s="403"/>
      <c r="Y31" s="403"/>
      <c r="AM31" s="404"/>
      <c r="AN31" s="404"/>
    </row>
    <row r="32" spans="1:40" hidden="1" x14ac:dyDescent="0.2">
      <c r="A32" s="408" t="s">
        <v>84</v>
      </c>
      <c r="C32" s="431">
        <v>0</v>
      </c>
      <c r="E32" s="430"/>
      <c r="F32" s="430"/>
      <c r="G32" s="430"/>
      <c r="H32" s="430"/>
      <c r="I32" s="430"/>
      <c r="J32" s="430"/>
      <c r="K32" s="430"/>
      <c r="L32" s="430"/>
      <c r="M32" s="430"/>
      <c r="N32" s="430"/>
      <c r="O32" s="430"/>
    </row>
    <row r="33" spans="1:15" hidden="1" x14ac:dyDescent="0.2">
      <c r="E33" s="430"/>
      <c r="F33" s="430"/>
      <c r="G33" s="430"/>
      <c r="H33" s="430"/>
      <c r="I33" s="430"/>
      <c r="J33" s="430"/>
      <c r="K33" s="430"/>
      <c r="L33" s="430"/>
      <c r="M33" s="430"/>
      <c r="N33" s="430"/>
      <c r="O33" s="430"/>
    </row>
    <row r="34" spans="1:15" x14ac:dyDescent="0.2">
      <c r="A34" s="432" t="s">
        <v>306</v>
      </c>
      <c r="D34" s="433">
        <v>0.08</v>
      </c>
      <c r="E34" s="430"/>
      <c r="F34" s="430"/>
      <c r="G34" s="430"/>
      <c r="H34" s="430"/>
      <c r="I34" s="430"/>
      <c r="J34" s="430"/>
      <c r="K34" s="430"/>
      <c r="L34" s="430"/>
      <c r="M34" s="430"/>
      <c r="N34" s="430"/>
      <c r="O34" s="430"/>
    </row>
    <row r="35" spans="1:15" x14ac:dyDescent="0.2">
      <c r="D35" s="434"/>
      <c r="L35" s="435"/>
      <c r="M35" s="436"/>
    </row>
    <row r="36" spans="1:15" x14ac:dyDescent="0.2">
      <c r="A36" s="408" t="s">
        <v>22</v>
      </c>
      <c r="B36" s="408"/>
      <c r="D36" s="419">
        <v>171.42</v>
      </c>
      <c r="E36" s="403" t="s">
        <v>37</v>
      </c>
      <c r="L36" s="435"/>
      <c r="M36" s="436"/>
    </row>
    <row r="37" spans="1:15" x14ac:dyDescent="0.2">
      <c r="A37" s="408" t="s">
        <v>20</v>
      </c>
      <c r="B37" s="408"/>
      <c r="D37" s="437">
        <v>8.3299999999999999E-2</v>
      </c>
    </row>
    <row r="38" spans="1:15" x14ac:dyDescent="0.2">
      <c r="A38" s="403" t="s">
        <v>35</v>
      </c>
      <c r="B38" s="408">
        <v>1</v>
      </c>
      <c r="C38" s="403">
        <v>8</v>
      </c>
      <c r="D38" s="419">
        <v>122.92</v>
      </c>
    </row>
    <row r="39" spans="1:15" x14ac:dyDescent="0.2">
      <c r="B39" s="408">
        <v>9</v>
      </c>
      <c r="C39" s="403">
        <v>16</v>
      </c>
      <c r="D39" s="419">
        <v>22.92</v>
      </c>
    </row>
    <row r="40" spans="1:15" x14ac:dyDescent="0.2">
      <c r="B40" s="408"/>
      <c r="D40" s="428"/>
    </row>
    <row r="42" spans="1:15" x14ac:dyDescent="0.2">
      <c r="A42" s="408" t="s">
        <v>307</v>
      </c>
      <c r="B42" s="403" t="s">
        <v>79</v>
      </c>
      <c r="C42" s="438">
        <v>133.33000000000001</v>
      </c>
    </row>
    <row r="43" spans="1:15" x14ac:dyDescent="0.2">
      <c r="A43" s="408"/>
      <c r="B43" s="403" t="s">
        <v>80</v>
      </c>
      <c r="C43" s="438">
        <v>133.33000000000001</v>
      </c>
    </row>
    <row r="44" spans="1:15" x14ac:dyDescent="0.2">
      <c r="A44" s="408"/>
      <c r="B44" s="403" t="s">
        <v>81</v>
      </c>
      <c r="C44" s="438">
        <v>66.67</v>
      </c>
    </row>
    <row r="45" spans="1:15" x14ac:dyDescent="0.2">
      <c r="A45" s="408"/>
      <c r="B45" s="403" t="s">
        <v>82</v>
      </c>
      <c r="C45" s="438">
        <v>66.67</v>
      </c>
    </row>
    <row r="46" spans="1:15" x14ac:dyDescent="0.2">
      <c r="A46" s="408"/>
      <c r="B46" s="403" t="s">
        <v>85</v>
      </c>
      <c r="C46" s="438">
        <v>200</v>
      </c>
    </row>
    <row r="47" spans="1:15" x14ac:dyDescent="0.2">
      <c r="A47" s="408"/>
      <c r="B47" s="403" t="s">
        <v>86</v>
      </c>
      <c r="C47" s="438">
        <v>200</v>
      </c>
    </row>
    <row r="48" spans="1:15" x14ac:dyDescent="0.2">
      <c r="A48" s="408"/>
      <c r="B48" s="403" t="s">
        <v>87</v>
      </c>
      <c r="C48" s="438">
        <v>100</v>
      </c>
    </row>
    <row r="49" spans="1:4" x14ac:dyDescent="0.2">
      <c r="A49" s="408"/>
      <c r="B49" s="403" t="s">
        <v>88</v>
      </c>
      <c r="C49" s="438">
        <v>100</v>
      </c>
    </row>
    <row r="50" spans="1:4" x14ac:dyDescent="0.2">
      <c r="A50" s="408"/>
      <c r="B50" s="403" t="s">
        <v>89</v>
      </c>
      <c r="C50" s="438">
        <v>100</v>
      </c>
    </row>
    <row r="52" spans="1:4" x14ac:dyDescent="0.2">
      <c r="A52" s="408" t="s">
        <v>308</v>
      </c>
      <c r="B52" s="403" t="s">
        <v>79</v>
      </c>
      <c r="C52" s="439" t="s">
        <v>309</v>
      </c>
      <c r="D52" s="438">
        <v>132.59</v>
      </c>
    </row>
    <row r="53" spans="1:4" x14ac:dyDescent="0.2">
      <c r="B53" s="403" t="s">
        <v>80</v>
      </c>
      <c r="C53" s="439" t="s">
        <v>310</v>
      </c>
      <c r="D53" s="438">
        <v>132.59</v>
      </c>
    </row>
    <row r="54" spans="1:4" x14ac:dyDescent="0.2">
      <c r="B54" s="403" t="s">
        <v>81</v>
      </c>
      <c r="C54" s="439" t="s">
        <v>311</v>
      </c>
      <c r="D54" s="438">
        <v>132.59</v>
      </c>
    </row>
    <row r="55" spans="1:4" x14ac:dyDescent="0.2">
      <c r="B55" s="403" t="s">
        <v>82</v>
      </c>
      <c r="C55" s="439" t="s">
        <v>312</v>
      </c>
      <c r="D55" s="438">
        <v>22</v>
      </c>
    </row>
    <row r="56" spans="1:4" x14ac:dyDescent="0.2">
      <c r="B56" s="403" t="s">
        <v>85</v>
      </c>
      <c r="C56" s="439" t="s">
        <v>313</v>
      </c>
      <c r="D56" s="438">
        <v>132.59</v>
      </c>
    </row>
    <row r="57" spans="1:4" x14ac:dyDescent="0.2">
      <c r="B57" s="403" t="s">
        <v>86</v>
      </c>
      <c r="C57" s="439" t="s">
        <v>314</v>
      </c>
      <c r="D57" s="438">
        <v>132.59</v>
      </c>
    </row>
    <row r="58" spans="1:4" x14ac:dyDescent="0.2">
      <c r="B58" s="403" t="s">
        <v>87</v>
      </c>
      <c r="C58" s="439" t="s">
        <v>315</v>
      </c>
      <c r="D58" s="438">
        <v>22</v>
      </c>
    </row>
    <row r="59" spans="1:4" x14ac:dyDescent="0.2">
      <c r="B59" s="403" t="s">
        <v>88</v>
      </c>
      <c r="C59" s="439" t="s">
        <v>316</v>
      </c>
      <c r="D59" s="438">
        <v>22</v>
      </c>
    </row>
    <row r="60" spans="1:4" x14ac:dyDescent="0.2">
      <c r="B60" s="403" t="s">
        <v>89</v>
      </c>
      <c r="C60" s="439" t="s">
        <v>317</v>
      </c>
      <c r="D60" s="438">
        <v>22</v>
      </c>
    </row>
    <row r="61" spans="1:4" x14ac:dyDescent="0.2">
      <c r="B61" s="403" t="s">
        <v>302</v>
      </c>
      <c r="C61" s="440" t="s">
        <v>318</v>
      </c>
      <c r="D61" s="438">
        <v>132.59</v>
      </c>
    </row>
    <row r="62" spans="1:4" x14ac:dyDescent="0.2">
      <c r="B62" s="403" t="s">
        <v>303</v>
      </c>
      <c r="C62" s="440" t="s">
        <v>319</v>
      </c>
      <c r="D62" s="438">
        <v>132.59</v>
      </c>
    </row>
    <row r="63" spans="1:4" x14ac:dyDescent="0.2">
      <c r="B63" s="403" t="s">
        <v>304</v>
      </c>
      <c r="C63" s="440" t="s">
        <v>320</v>
      </c>
      <c r="D63" s="438">
        <v>132.59</v>
      </c>
    </row>
    <row r="64" spans="1:4" x14ac:dyDescent="0.2">
      <c r="B64" s="403" t="s">
        <v>305</v>
      </c>
      <c r="C64" s="440" t="s">
        <v>321</v>
      </c>
      <c r="D64" s="438">
        <v>132.59</v>
      </c>
    </row>
    <row r="65" spans="1:25" x14ac:dyDescent="0.2">
      <c r="B65" s="403">
        <v>9</v>
      </c>
      <c r="C65" s="440">
        <v>910</v>
      </c>
      <c r="D65" s="438">
        <v>22</v>
      </c>
    </row>
    <row r="66" spans="1:25" x14ac:dyDescent="0.2">
      <c r="D66" s="422"/>
    </row>
    <row r="67" spans="1:25" x14ac:dyDescent="0.2">
      <c r="A67" s="408" t="s">
        <v>77</v>
      </c>
    </row>
    <row r="68" spans="1:25" x14ac:dyDescent="0.2">
      <c r="A68" s="408" t="s">
        <v>78</v>
      </c>
    </row>
    <row r="69" spans="1:25" x14ac:dyDescent="0.2">
      <c r="A69" s="441" t="s">
        <v>30</v>
      </c>
    </row>
    <row r="70" spans="1:25" x14ac:dyDescent="0.2">
      <c r="A70" s="442"/>
    </row>
    <row r="72" spans="1:25" ht="12.75" x14ac:dyDescent="0.2">
      <c r="A72" s="443" t="s">
        <v>0</v>
      </c>
      <c r="B72" s="444" t="s">
        <v>322</v>
      </c>
      <c r="C72" s="443"/>
      <c r="D72" s="443"/>
      <c r="E72" s="443"/>
      <c r="F72"/>
      <c r="G72" s="445"/>
      <c r="H72" s="446"/>
      <c r="I72" s="447"/>
      <c r="J72" s="447"/>
      <c r="K72" s="447"/>
      <c r="L72" s="447"/>
      <c r="M72" s="447"/>
      <c r="N72" s="447"/>
      <c r="O72" s="447"/>
      <c r="P72" s="447"/>
      <c r="Q72" s="447"/>
      <c r="R72" s="447"/>
      <c r="S72" s="447"/>
      <c r="T72" s="447"/>
      <c r="U72" s="447"/>
      <c r="V72" s="448"/>
      <c r="W72" s="445"/>
    </row>
    <row r="73" spans="1:25" ht="12.75" x14ac:dyDescent="0.2">
      <c r="A73" s="443"/>
      <c r="B73" s="449" t="s">
        <v>323</v>
      </c>
      <c r="C73" s="449" t="s">
        <v>324</v>
      </c>
      <c r="D73" s="449" t="s">
        <v>325</v>
      </c>
      <c r="E73" s="449" t="s">
        <v>326</v>
      </c>
      <c r="F73"/>
      <c r="G73" s="445"/>
      <c r="H73" s="446"/>
      <c r="I73" s="447"/>
      <c r="J73" s="447"/>
      <c r="K73" s="447"/>
      <c r="L73" s="447"/>
      <c r="M73" s="447"/>
      <c r="N73" s="447"/>
      <c r="O73" s="447"/>
      <c r="P73" s="447"/>
      <c r="Q73" s="447"/>
      <c r="R73" s="447"/>
      <c r="S73" s="447"/>
      <c r="T73" s="447"/>
      <c r="U73" s="447"/>
      <c r="V73" s="448"/>
      <c r="W73" s="445"/>
    </row>
    <row r="74" spans="1:25" x14ac:dyDescent="0.2">
      <c r="A74" s="449" t="s">
        <v>327</v>
      </c>
      <c r="B74" s="449">
        <v>-3</v>
      </c>
      <c r="C74" s="449">
        <v>-2</v>
      </c>
      <c r="D74" s="449">
        <v>-1</v>
      </c>
      <c r="E74" s="449">
        <v>0</v>
      </c>
      <c r="F74" s="450">
        <v>1</v>
      </c>
      <c r="G74" s="450">
        <v>2</v>
      </c>
      <c r="H74" s="450">
        <v>3</v>
      </c>
      <c r="I74" s="450">
        <v>4</v>
      </c>
      <c r="J74" s="450">
        <v>5</v>
      </c>
      <c r="K74" s="450">
        <v>6</v>
      </c>
      <c r="L74" s="450">
        <v>7</v>
      </c>
      <c r="M74" s="450">
        <v>8</v>
      </c>
      <c r="N74" s="450">
        <v>9</v>
      </c>
      <c r="O74" s="450">
        <v>10</v>
      </c>
      <c r="P74" s="450">
        <v>11</v>
      </c>
      <c r="Q74" s="450">
        <v>12</v>
      </c>
      <c r="R74" s="450">
        <v>13</v>
      </c>
      <c r="S74" s="450">
        <v>14</v>
      </c>
      <c r="T74" s="450">
        <v>15</v>
      </c>
      <c r="U74" s="450">
        <v>16</v>
      </c>
      <c r="V74" s="451" t="s">
        <v>328</v>
      </c>
      <c r="W74" s="445" t="s">
        <v>329</v>
      </c>
    </row>
    <row r="75" spans="1:25" ht="12.75" x14ac:dyDescent="0.2">
      <c r="A75" s="452" t="s">
        <v>79</v>
      </c>
      <c r="B75" s="453"/>
      <c r="C75" s="453"/>
      <c r="D75" s="453"/>
      <c r="E75" s="453"/>
      <c r="F75" s="453">
        <v>2755</v>
      </c>
      <c r="G75" s="453">
        <v>3031</v>
      </c>
      <c r="H75" s="453">
        <v>3177</v>
      </c>
      <c r="I75" s="453">
        <v>3339</v>
      </c>
      <c r="J75" s="453">
        <v>3481</v>
      </c>
      <c r="K75" s="453">
        <v>3622</v>
      </c>
      <c r="L75" s="453">
        <v>3757</v>
      </c>
      <c r="M75" s="453">
        <v>3890</v>
      </c>
      <c r="N75" s="453">
        <v>4035</v>
      </c>
      <c r="O75" s="453">
        <v>4164</v>
      </c>
      <c r="P75" s="453">
        <v>4296</v>
      </c>
      <c r="Q75" s="453">
        <v>4425</v>
      </c>
      <c r="R75" s="453">
        <v>4573</v>
      </c>
      <c r="S75" s="453"/>
      <c r="T75" s="453"/>
      <c r="U75" s="454"/>
      <c r="V75" s="455">
        <v>13</v>
      </c>
      <c r="W75" s="445" t="s">
        <v>330</v>
      </c>
      <c r="X75" s="456" t="str">
        <f>A75&amp;V75</f>
        <v>A1013</v>
      </c>
      <c r="Y75" s="457">
        <f>1</f>
        <v>1</v>
      </c>
    </row>
    <row r="76" spans="1:25" ht="12.75" x14ac:dyDescent="0.2">
      <c r="A76" s="452" t="s">
        <v>80</v>
      </c>
      <c r="B76" s="453"/>
      <c r="C76" s="453"/>
      <c r="D76" s="453"/>
      <c r="E76" s="453"/>
      <c r="F76" s="453">
        <v>2896</v>
      </c>
      <c r="G76" s="453">
        <v>3031</v>
      </c>
      <c r="H76" s="453">
        <v>3181</v>
      </c>
      <c r="I76" s="453">
        <v>3341</v>
      </c>
      <c r="J76" s="453">
        <v>3491</v>
      </c>
      <c r="K76" s="453">
        <v>3641</v>
      </c>
      <c r="L76" s="453">
        <v>3793</v>
      </c>
      <c r="M76" s="453">
        <v>4035</v>
      </c>
      <c r="N76" s="453">
        <v>4196</v>
      </c>
      <c r="O76" s="453">
        <v>4358</v>
      </c>
      <c r="P76" s="453">
        <v>4520</v>
      </c>
      <c r="Q76" s="453">
        <v>4682</v>
      </c>
      <c r="R76" s="453">
        <v>4844</v>
      </c>
      <c r="S76" s="453">
        <v>5006</v>
      </c>
      <c r="T76" s="453">
        <v>5169</v>
      </c>
      <c r="U76" s="454">
        <v>5329</v>
      </c>
      <c r="V76" s="455">
        <v>16</v>
      </c>
      <c r="W76" s="445" t="s">
        <v>330</v>
      </c>
      <c r="X76" s="456" t="str">
        <f t="shared" ref="X76:X109" si="0">A76&amp;V76</f>
        <v>A1116</v>
      </c>
      <c r="Y76" s="457">
        <f>1</f>
        <v>1</v>
      </c>
    </row>
    <row r="77" spans="1:25" ht="12.75" x14ac:dyDescent="0.2">
      <c r="A77" s="452" t="s">
        <v>81</v>
      </c>
      <c r="B77" s="453"/>
      <c r="C77" s="453"/>
      <c r="D77" s="453"/>
      <c r="E77" s="453"/>
      <c r="F77" s="453">
        <v>3031</v>
      </c>
      <c r="G77" s="453">
        <v>3210</v>
      </c>
      <c r="H77" s="453">
        <v>3417</v>
      </c>
      <c r="I77" s="453">
        <v>3626</v>
      </c>
      <c r="J77" s="453">
        <v>3833</v>
      </c>
      <c r="K77" s="453">
        <v>4068</v>
      </c>
      <c r="L77" s="453">
        <v>4329</v>
      </c>
      <c r="M77" s="453">
        <v>4621</v>
      </c>
      <c r="N77" s="453">
        <v>4938</v>
      </c>
      <c r="O77" s="453">
        <v>5284</v>
      </c>
      <c r="P77" s="453">
        <v>5657</v>
      </c>
      <c r="Q77" s="453">
        <v>6059</v>
      </c>
      <c r="R77" s="453"/>
      <c r="S77" s="453"/>
      <c r="T77" s="453"/>
      <c r="U77" s="454"/>
      <c r="V77" s="455">
        <v>12</v>
      </c>
      <c r="W77" s="445" t="s">
        <v>330</v>
      </c>
      <c r="X77" s="456" t="str">
        <f t="shared" si="0"/>
        <v>A1212</v>
      </c>
      <c r="Y77" s="457">
        <f>1</f>
        <v>1</v>
      </c>
    </row>
    <row r="78" spans="1:25" ht="12.75" x14ac:dyDescent="0.2">
      <c r="A78" s="452" t="s">
        <v>82</v>
      </c>
      <c r="B78" s="453">
        <v>3456.7500000000005</v>
      </c>
      <c r="C78" s="453">
        <v>3875.7500000000005</v>
      </c>
      <c r="D78" s="453">
        <v>4294.75</v>
      </c>
      <c r="E78" s="453"/>
      <c r="F78" s="453">
        <v>4715</v>
      </c>
      <c r="G78" s="453">
        <v>4857</v>
      </c>
      <c r="H78" s="453">
        <v>4991</v>
      </c>
      <c r="I78" s="453">
        <v>5128</v>
      </c>
      <c r="J78" s="453">
        <v>5260</v>
      </c>
      <c r="K78" s="453">
        <v>5535</v>
      </c>
      <c r="L78" s="453">
        <v>5668</v>
      </c>
      <c r="M78" s="453">
        <v>5803</v>
      </c>
      <c r="N78" s="453">
        <v>5973</v>
      </c>
      <c r="O78" s="453">
        <v>6144</v>
      </c>
      <c r="P78" s="453">
        <v>6314</v>
      </c>
      <c r="Q78" s="453">
        <v>6486</v>
      </c>
      <c r="R78" s="453">
        <v>6568</v>
      </c>
      <c r="S78" s="453"/>
      <c r="T78" s="453"/>
      <c r="U78" s="454"/>
      <c r="V78" s="455">
        <v>13</v>
      </c>
      <c r="W78" s="445" t="s">
        <v>330</v>
      </c>
      <c r="X78" s="456" t="str">
        <f t="shared" si="0"/>
        <v>A1313</v>
      </c>
      <c r="Y78" s="457">
        <f>1</f>
        <v>1</v>
      </c>
    </row>
    <row r="79" spans="1:25" ht="12.75" x14ac:dyDescent="0.2">
      <c r="A79" s="458" t="s">
        <v>85</v>
      </c>
      <c r="B79" s="453"/>
      <c r="C79" s="453"/>
      <c r="D79" s="453"/>
      <c r="E79" s="453"/>
      <c r="F79" s="453">
        <v>2896</v>
      </c>
      <c r="G79" s="453">
        <v>3031</v>
      </c>
      <c r="H79" s="453">
        <v>3181</v>
      </c>
      <c r="I79" s="453">
        <v>3341</v>
      </c>
      <c r="J79" s="453">
        <v>3491</v>
      </c>
      <c r="K79" s="453">
        <v>3641</v>
      </c>
      <c r="L79" s="453">
        <v>3793</v>
      </c>
      <c r="M79" s="453">
        <v>4035</v>
      </c>
      <c r="N79" s="453">
        <v>4196</v>
      </c>
      <c r="O79" s="453">
        <v>4358</v>
      </c>
      <c r="P79" s="453">
        <v>4520</v>
      </c>
      <c r="Q79" s="453">
        <v>4682</v>
      </c>
      <c r="R79" s="453">
        <v>4844</v>
      </c>
      <c r="S79" s="453">
        <v>5006</v>
      </c>
      <c r="T79" s="453">
        <v>5169</v>
      </c>
      <c r="U79" s="453">
        <v>5329</v>
      </c>
      <c r="V79" s="459">
        <v>16</v>
      </c>
      <c r="W79" s="445" t="s">
        <v>330</v>
      </c>
      <c r="X79" s="456" t="str">
        <f t="shared" si="0"/>
        <v>D1116</v>
      </c>
      <c r="Y79" s="457">
        <f>1</f>
        <v>1</v>
      </c>
    </row>
    <row r="80" spans="1:25" ht="12.75" x14ac:dyDescent="0.2">
      <c r="A80" s="458" t="s">
        <v>86</v>
      </c>
      <c r="B80" s="453"/>
      <c r="C80" s="453"/>
      <c r="D80" s="453"/>
      <c r="E80" s="453"/>
      <c r="F80" s="453">
        <v>3031</v>
      </c>
      <c r="G80" s="453">
        <v>3210</v>
      </c>
      <c r="H80" s="453">
        <v>3417</v>
      </c>
      <c r="I80" s="453">
        <v>3626</v>
      </c>
      <c r="J80" s="453">
        <v>3833</v>
      </c>
      <c r="K80" s="453">
        <v>4068</v>
      </c>
      <c r="L80" s="453">
        <v>4329</v>
      </c>
      <c r="M80" s="453">
        <v>4621</v>
      </c>
      <c r="N80" s="453">
        <v>4938</v>
      </c>
      <c r="O80" s="453">
        <v>5284</v>
      </c>
      <c r="P80" s="453">
        <v>5657</v>
      </c>
      <c r="Q80" s="453">
        <v>6059</v>
      </c>
      <c r="R80" s="453"/>
      <c r="S80" s="453"/>
      <c r="T80" s="453"/>
      <c r="U80" s="453"/>
      <c r="V80" s="459">
        <v>12</v>
      </c>
      <c r="W80" s="445" t="s">
        <v>330</v>
      </c>
      <c r="X80" s="456" t="str">
        <f t="shared" si="0"/>
        <v>D1212</v>
      </c>
      <c r="Y80" s="457">
        <f>1</f>
        <v>1</v>
      </c>
    </row>
    <row r="81" spans="1:39" ht="12.75" x14ac:dyDescent="0.2">
      <c r="A81" s="458" t="s">
        <v>87</v>
      </c>
      <c r="B81" s="453">
        <v>4116.6750000000002</v>
      </c>
      <c r="C81" s="453">
        <v>4415.2125000000005</v>
      </c>
      <c r="D81" s="453"/>
      <c r="E81" s="453"/>
      <c r="F81" s="453">
        <v>4715</v>
      </c>
      <c r="G81" s="453">
        <v>4857</v>
      </c>
      <c r="H81" s="453">
        <v>4991</v>
      </c>
      <c r="I81" s="453">
        <v>5128</v>
      </c>
      <c r="J81" s="453">
        <v>5260</v>
      </c>
      <c r="K81" s="453">
        <v>5535</v>
      </c>
      <c r="L81" s="453">
        <v>5668</v>
      </c>
      <c r="M81" s="453">
        <v>5803</v>
      </c>
      <c r="N81" s="453">
        <v>5973</v>
      </c>
      <c r="O81" s="453">
        <v>6144</v>
      </c>
      <c r="P81" s="453">
        <v>6314</v>
      </c>
      <c r="Q81" s="453">
        <v>6486</v>
      </c>
      <c r="R81" s="453">
        <v>6568</v>
      </c>
      <c r="S81" s="453"/>
      <c r="T81" s="453"/>
      <c r="U81" s="453"/>
      <c r="V81" s="459">
        <v>13</v>
      </c>
      <c r="W81" s="445" t="s">
        <v>330</v>
      </c>
      <c r="X81" s="456" t="str">
        <f t="shared" si="0"/>
        <v>D1313</v>
      </c>
      <c r="Y81" s="457">
        <f>1</f>
        <v>1</v>
      </c>
    </row>
    <row r="82" spans="1:39" ht="12.75" x14ac:dyDescent="0.2">
      <c r="A82" s="458" t="s">
        <v>88</v>
      </c>
      <c r="B82" s="453">
        <v>4294.75</v>
      </c>
      <c r="C82" s="453">
        <v>4661.375</v>
      </c>
      <c r="D82" s="453">
        <v>5028.0000000000009</v>
      </c>
      <c r="E82" s="453"/>
      <c r="F82" s="453">
        <v>5399</v>
      </c>
      <c r="G82" s="453">
        <v>5535</v>
      </c>
      <c r="H82" s="453">
        <v>5803</v>
      </c>
      <c r="I82" s="453">
        <v>5973</v>
      </c>
      <c r="J82" s="453">
        <v>6144</v>
      </c>
      <c r="K82" s="453">
        <v>6314</v>
      </c>
      <c r="L82" s="453">
        <v>6486</v>
      </c>
      <c r="M82" s="453">
        <v>6658</v>
      </c>
      <c r="N82" s="453">
        <v>6838</v>
      </c>
      <c r="O82" s="453">
        <v>7024</v>
      </c>
      <c r="P82" s="453">
        <v>7215</v>
      </c>
      <c r="Q82" s="453"/>
      <c r="R82" s="453"/>
      <c r="S82" s="453"/>
      <c r="T82" s="453"/>
      <c r="U82" s="453"/>
      <c r="V82" s="459">
        <v>11</v>
      </c>
      <c r="W82" s="445" t="s">
        <v>330</v>
      </c>
      <c r="X82" s="456" t="str">
        <f t="shared" si="0"/>
        <v>D1411</v>
      </c>
      <c r="Y82" s="457">
        <f>1</f>
        <v>1</v>
      </c>
    </row>
    <row r="83" spans="1:39" ht="12.75" x14ac:dyDescent="0.2">
      <c r="A83" s="458" t="s">
        <v>89</v>
      </c>
      <c r="B83" s="453">
        <v>3750.05</v>
      </c>
      <c r="C83" s="453">
        <v>4467.5875000000005</v>
      </c>
      <c r="D83" s="453">
        <v>4870.875</v>
      </c>
      <c r="E83" s="453">
        <v>5279.4000000000005</v>
      </c>
      <c r="F83" s="453">
        <v>5668</v>
      </c>
      <c r="G83" s="453">
        <v>5803</v>
      </c>
      <c r="H83" s="453">
        <v>5973</v>
      </c>
      <c r="I83" s="453">
        <v>6314</v>
      </c>
      <c r="J83" s="453">
        <v>6486</v>
      </c>
      <c r="K83" s="453">
        <v>6658</v>
      </c>
      <c r="L83" s="453">
        <v>6838</v>
      </c>
      <c r="M83" s="453">
        <v>7024</v>
      </c>
      <c r="N83" s="453">
        <v>7215</v>
      </c>
      <c r="O83" s="453">
        <v>7443</v>
      </c>
      <c r="P83" s="453">
        <v>7680</v>
      </c>
      <c r="Q83" s="453">
        <v>7922</v>
      </c>
      <c r="R83" s="453"/>
      <c r="S83" s="453"/>
      <c r="T83" s="453"/>
      <c r="U83" s="453"/>
      <c r="V83" s="459">
        <v>12</v>
      </c>
      <c r="W83" s="445" t="s">
        <v>330</v>
      </c>
      <c r="X83" s="456" t="str">
        <f t="shared" si="0"/>
        <v>D1512</v>
      </c>
      <c r="Y83" s="457">
        <f>1</f>
        <v>1</v>
      </c>
    </row>
    <row r="84" spans="1:39" ht="12.75" x14ac:dyDescent="0.2">
      <c r="A84" s="452" t="s">
        <v>23</v>
      </c>
      <c r="B84" s="453"/>
      <c r="C84" s="453"/>
      <c r="D84" s="453"/>
      <c r="E84" s="453"/>
      <c r="F84" s="489">
        <v>1934.4</v>
      </c>
      <c r="G84" s="453">
        <v>1941</v>
      </c>
      <c r="H84" s="453">
        <v>2013</v>
      </c>
      <c r="I84" s="453">
        <v>2047</v>
      </c>
      <c r="J84" s="453">
        <v>2086</v>
      </c>
      <c r="K84" s="453">
        <v>2124</v>
      </c>
      <c r="L84" s="453">
        <v>2175</v>
      </c>
      <c r="M84" s="453"/>
      <c r="N84" s="460"/>
      <c r="O84" s="460"/>
      <c r="P84" s="460"/>
      <c r="Q84" s="460"/>
      <c r="R84" s="460"/>
      <c r="S84" s="460"/>
      <c r="T84" s="460"/>
      <c r="U84" s="460"/>
      <c r="V84" s="459">
        <v>7</v>
      </c>
      <c r="W84" s="445" t="s">
        <v>331</v>
      </c>
      <c r="X84" s="456" t="str">
        <f t="shared" si="0"/>
        <v>ID17</v>
      </c>
      <c r="Y84" s="457">
        <f>1</f>
        <v>1</v>
      </c>
      <c r="Z84" s="461"/>
      <c r="AA84" s="461"/>
      <c r="AB84" s="461"/>
      <c r="AC84" s="461"/>
      <c r="AD84" s="461"/>
      <c r="AE84" s="461"/>
      <c r="AF84" s="461"/>
      <c r="AG84" s="461"/>
      <c r="AH84" s="461"/>
      <c r="AI84" s="461"/>
      <c r="AJ84" s="461"/>
      <c r="AK84" s="461"/>
      <c r="AL84" s="461"/>
      <c r="AM84" s="415"/>
    </row>
    <row r="85" spans="1:39" ht="12.75" x14ac:dyDescent="0.2">
      <c r="A85" s="448" t="s">
        <v>24</v>
      </c>
      <c r="B85" s="453"/>
      <c r="C85" s="453"/>
      <c r="D85" s="453"/>
      <c r="E85" s="453"/>
      <c r="F85" s="489">
        <v>1934.4</v>
      </c>
      <c r="G85" s="453">
        <v>1979</v>
      </c>
      <c r="H85" s="453">
        <v>2047</v>
      </c>
      <c r="I85" s="453">
        <v>2124</v>
      </c>
      <c r="J85" s="453">
        <v>2175</v>
      </c>
      <c r="K85" s="453">
        <v>2234</v>
      </c>
      <c r="L85" s="453">
        <v>2306</v>
      </c>
      <c r="M85" s="453">
        <v>2373</v>
      </c>
      <c r="N85" s="453"/>
      <c r="O85" s="460"/>
      <c r="P85" s="460"/>
      <c r="Q85" s="460"/>
      <c r="R85" s="460"/>
      <c r="S85" s="460"/>
      <c r="T85" s="460"/>
      <c r="U85" s="460"/>
      <c r="V85" s="459">
        <v>8</v>
      </c>
      <c r="W85" s="445" t="s">
        <v>331</v>
      </c>
      <c r="X85" s="456" t="str">
        <f t="shared" si="0"/>
        <v>ID28</v>
      </c>
      <c r="Y85" s="457">
        <f>1</f>
        <v>1</v>
      </c>
      <c r="Z85" s="461"/>
      <c r="AA85" s="461"/>
      <c r="AB85" s="461"/>
      <c r="AC85" s="461"/>
      <c r="AD85" s="461"/>
      <c r="AE85" s="461"/>
      <c r="AF85" s="461"/>
      <c r="AG85" s="461"/>
      <c r="AH85" s="461"/>
      <c r="AI85" s="461"/>
      <c r="AJ85" s="461"/>
      <c r="AK85" s="461"/>
      <c r="AL85" s="461"/>
      <c r="AM85" s="415"/>
    </row>
    <row r="86" spans="1:39" ht="12.75" x14ac:dyDescent="0.2">
      <c r="A86" s="448" t="s">
        <v>25</v>
      </c>
      <c r="B86" s="453"/>
      <c r="C86" s="453"/>
      <c r="D86" s="453"/>
      <c r="E86" s="453"/>
      <c r="F86" s="489">
        <v>1934.4</v>
      </c>
      <c r="G86" s="453">
        <v>2047</v>
      </c>
      <c r="H86" s="453">
        <v>2124</v>
      </c>
      <c r="I86" s="453">
        <v>2234</v>
      </c>
      <c r="J86" s="453">
        <v>2306</v>
      </c>
      <c r="K86" s="453">
        <v>2373</v>
      </c>
      <c r="L86" s="453">
        <v>2439</v>
      </c>
      <c r="M86" s="453">
        <v>2504</v>
      </c>
      <c r="N86" s="453">
        <v>2568</v>
      </c>
      <c r="O86" s="460"/>
      <c r="P86" s="460"/>
      <c r="Q86" s="460"/>
      <c r="R86" s="460"/>
      <c r="S86" s="460"/>
      <c r="T86" s="462"/>
      <c r="U86" s="460"/>
      <c r="V86" s="459">
        <v>9</v>
      </c>
      <c r="W86" s="445" t="s">
        <v>331</v>
      </c>
      <c r="X86" s="456" t="str">
        <f t="shared" si="0"/>
        <v>ID39</v>
      </c>
      <c r="Y86" s="457">
        <f>1</f>
        <v>1</v>
      </c>
      <c r="Z86" s="461"/>
      <c r="AA86" s="461"/>
      <c r="AB86" s="461"/>
      <c r="AC86" s="461"/>
      <c r="AD86" s="461"/>
      <c r="AE86" s="461"/>
      <c r="AF86" s="461"/>
      <c r="AG86" s="461"/>
      <c r="AH86" s="461"/>
      <c r="AI86" s="461"/>
      <c r="AJ86" s="461"/>
      <c r="AK86" s="461"/>
      <c r="AL86" s="461"/>
      <c r="AM86" s="415"/>
    </row>
    <row r="87" spans="1:39" ht="13.5" customHeight="1" x14ac:dyDescent="0.2">
      <c r="A87" s="448" t="s">
        <v>83</v>
      </c>
      <c r="B87" s="453"/>
      <c r="C87" s="453"/>
      <c r="D87" s="453"/>
      <c r="E87" s="453"/>
      <c r="F87" s="489">
        <v>1934.4</v>
      </c>
      <c r="G87" s="489">
        <v>1934.4</v>
      </c>
      <c r="H87" s="489">
        <v>1934.4</v>
      </c>
      <c r="I87" s="453">
        <v>1951.1382000000003</v>
      </c>
      <c r="J87" s="453"/>
      <c r="K87" s="453"/>
      <c r="L87" s="453"/>
      <c r="M87" s="453"/>
      <c r="N87" s="453"/>
      <c r="O87" s="460"/>
      <c r="P87" s="460"/>
      <c r="Q87" s="460"/>
      <c r="R87" s="460"/>
      <c r="S87" s="460"/>
      <c r="T87" s="460"/>
      <c r="U87" s="460"/>
      <c r="V87" s="459">
        <v>4</v>
      </c>
      <c r="W87" s="445" t="s">
        <v>331</v>
      </c>
      <c r="X87" s="456" t="str">
        <f t="shared" si="0"/>
        <v>Participatiebaan4</v>
      </c>
      <c r="Y87" s="457">
        <f>1</f>
        <v>1</v>
      </c>
    </row>
    <row r="88" spans="1:39" ht="12.75" x14ac:dyDescent="0.2">
      <c r="A88" s="458" t="s">
        <v>302</v>
      </c>
      <c r="B88" s="453"/>
      <c r="C88" s="453"/>
      <c r="D88" s="453"/>
      <c r="E88" s="453"/>
      <c r="F88" s="453">
        <v>3001</v>
      </c>
      <c r="G88" s="453">
        <v>3074</v>
      </c>
      <c r="H88" s="453">
        <v>3166</v>
      </c>
      <c r="I88" s="453">
        <v>3258</v>
      </c>
      <c r="J88" s="453">
        <v>3352</v>
      </c>
      <c r="K88" s="453">
        <v>3467</v>
      </c>
      <c r="L88" s="453">
        <v>3602</v>
      </c>
      <c r="M88" s="453">
        <v>3755</v>
      </c>
      <c r="N88" s="453">
        <v>3929</v>
      </c>
      <c r="O88" s="453">
        <v>4122</v>
      </c>
      <c r="P88" s="453">
        <v>4336</v>
      </c>
      <c r="Q88" s="453">
        <v>4573</v>
      </c>
      <c r="R88" s="453"/>
      <c r="S88" s="453"/>
      <c r="T88" s="453"/>
      <c r="U88" s="460"/>
      <c r="V88" s="459">
        <v>12</v>
      </c>
      <c r="W88" s="445" t="s">
        <v>332</v>
      </c>
      <c r="X88" s="456" t="str">
        <f t="shared" si="0"/>
        <v>LB12</v>
      </c>
      <c r="Y88" s="457">
        <f>1</f>
        <v>1</v>
      </c>
    </row>
    <row r="89" spans="1:39" ht="12.75" x14ac:dyDescent="0.2">
      <c r="A89" s="458" t="s">
        <v>303</v>
      </c>
      <c r="B89" s="453"/>
      <c r="C89" s="453"/>
      <c r="D89" s="453"/>
      <c r="E89" s="453"/>
      <c r="F89" s="453">
        <v>3019</v>
      </c>
      <c r="G89" s="453">
        <v>3162</v>
      </c>
      <c r="H89" s="453">
        <v>3326</v>
      </c>
      <c r="I89" s="453">
        <v>3491</v>
      </c>
      <c r="J89" s="453">
        <v>3653</v>
      </c>
      <c r="K89" s="453">
        <v>3836</v>
      </c>
      <c r="L89" s="453">
        <v>4037</v>
      </c>
      <c r="M89" s="453">
        <v>4257</v>
      </c>
      <c r="N89" s="453">
        <v>4497</v>
      </c>
      <c r="O89" s="453">
        <v>4755</v>
      </c>
      <c r="P89" s="453">
        <v>5032</v>
      </c>
      <c r="Q89" s="453">
        <v>5329</v>
      </c>
      <c r="R89" s="453"/>
      <c r="S89" s="453"/>
      <c r="T89" s="453"/>
      <c r="U89" s="460"/>
      <c r="V89" s="459">
        <v>12</v>
      </c>
      <c r="W89" s="445" t="s">
        <v>332</v>
      </c>
      <c r="X89" s="456" t="str">
        <f t="shared" si="0"/>
        <v>LC12</v>
      </c>
      <c r="Y89" s="457">
        <f>1</f>
        <v>1</v>
      </c>
    </row>
    <row r="90" spans="1:39" ht="12.75" x14ac:dyDescent="0.2">
      <c r="A90" s="458" t="s">
        <v>304</v>
      </c>
      <c r="B90" s="453"/>
      <c r="C90" s="453"/>
      <c r="D90" s="453"/>
      <c r="E90" s="453"/>
      <c r="F90" s="453">
        <v>3031</v>
      </c>
      <c r="G90" s="453">
        <v>3210</v>
      </c>
      <c r="H90" s="453">
        <v>3418</v>
      </c>
      <c r="I90" s="453">
        <v>3625</v>
      </c>
      <c r="J90" s="453">
        <v>3833</v>
      </c>
      <c r="K90" s="453">
        <v>4068</v>
      </c>
      <c r="L90" s="453">
        <v>4329</v>
      </c>
      <c r="M90" s="453">
        <v>4621</v>
      </c>
      <c r="N90" s="453">
        <v>4938</v>
      </c>
      <c r="O90" s="453">
        <v>5284</v>
      </c>
      <c r="P90" s="453">
        <v>5657</v>
      </c>
      <c r="Q90" s="453">
        <v>6059</v>
      </c>
      <c r="R90" s="453"/>
      <c r="S90" s="453"/>
      <c r="T90" s="453"/>
      <c r="U90" s="460"/>
      <c r="V90" s="459">
        <v>12</v>
      </c>
      <c r="W90" s="445" t="s">
        <v>332</v>
      </c>
      <c r="X90" s="456" t="str">
        <f t="shared" si="0"/>
        <v>LD12</v>
      </c>
      <c r="Y90" s="457">
        <f>1</f>
        <v>1</v>
      </c>
    </row>
    <row r="91" spans="1:39" ht="12.75" x14ac:dyDescent="0.2">
      <c r="A91" s="458" t="s">
        <v>305</v>
      </c>
      <c r="B91" s="453">
        <v>3299.6250000000005</v>
      </c>
      <c r="C91" s="453">
        <v>3561.5000000000005</v>
      </c>
      <c r="D91" s="453"/>
      <c r="E91" s="453"/>
      <c r="F91" s="453">
        <v>3890</v>
      </c>
      <c r="G91" s="453">
        <v>4035</v>
      </c>
      <c r="H91" s="453">
        <v>4164</v>
      </c>
      <c r="I91" s="453">
        <v>4425</v>
      </c>
      <c r="J91" s="453">
        <v>4715</v>
      </c>
      <c r="K91" s="453">
        <v>4980</v>
      </c>
      <c r="L91" s="453">
        <v>5244</v>
      </c>
      <c r="M91" s="453">
        <v>5509</v>
      </c>
      <c r="N91" s="453">
        <v>5774</v>
      </c>
      <c r="O91" s="453">
        <v>6037</v>
      </c>
      <c r="P91" s="453">
        <v>6301</v>
      </c>
      <c r="Q91" s="453">
        <v>6568</v>
      </c>
      <c r="R91" s="453"/>
      <c r="S91" s="453"/>
      <c r="T91" s="453"/>
      <c r="U91" s="460"/>
      <c r="V91" s="459">
        <v>12</v>
      </c>
      <c r="W91" s="445" t="s">
        <v>332</v>
      </c>
      <c r="X91" s="456" t="str">
        <f t="shared" si="0"/>
        <v>LE12</v>
      </c>
      <c r="Y91" s="457">
        <f>1</f>
        <v>1</v>
      </c>
    </row>
    <row r="92" spans="1:39" ht="12.75" x14ac:dyDescent="0.2">
      <c r="A92" s="448" t="s">
        <v>1</v>
      </c>
      <c r="B92" s="453"/>
      <c r="C92" s="453"/>
      <c r="D92" s="453"/>
      <c r="E92" s="453"/>
      <c r="F92" s="453">
        <v>1500.5</v>
      </c>
      <c r="G92" s="453"/>
      <c r="H92" s="453"/>
      <c r="I92" s="453"/>
      <c r="J92" s="453"/>
      <c r="K92" s="453"/>
      <c r="L92" s="453"/>
      <c r="M92" s="453"/>
      <c r="N92" s="463"/>
      <c r="O92" s="463"/>
      <c r="P92" s="463"/>
      <c r="Q92" s="463"/>
      <c r="R92" s="463"/>
      <c r="S92" s="463"/>
      <c r="T92" s="463"/>
      <c r="U92" s="460"/>
      <c r="V92" s="459">
        <v>1</v>
      </c>
      <c r="W92" s="445" t="s">
        <v>332</v>
      </c>
      <c r="X92" s="456" t="str">
        <f t="shared" si="0"/>
        <v>LIOa1</v>
      </c>
      <c r="Y92" s="457">
        <f>1</f>
        <v>1</v>
      </c>
    </row>
    <row r="93" spans="1:39" ht="12.75" x14ac:dyDescent="0.2">
      <c r="A93" s="448" t="s">
        <v>2</v>
      </c>
      <c r="B93" s="453"/>
      <c r="C93" s="453"/>
      <c r="D93" s="453"/>
      <c r="E93" s="453"/>
      <c r="F93" s="453">
        <v>1509.5</v>
      </c>
      <c r="G93" s="453"/>
      <c r="H93" s="453"/>
      <c r="I93" s="453"/>
      <c r="J93" s="453"/>
      <c r="K93" s="453"/>
      <c r="L93" s="453"/>
      <c r="M93" s="453"/>
      <c r="N93" s="463"/>
      <c r="O93" s="463"/>
      <c r="P93" s="463"/>
      <c r="Q93" s="463"/>
      <c r="R93" s="463"/>
      <c r="S93" s="463"/>
      <c r="T93" s="463"/>
      <c r="U93" s="460"/>
      <c r="V93" s="459">
        <v>1</v>
      </c>
      <c r="W93" s="445" t="s">
        <v>332</v>
      </c>
      <c r="X93" s="456" t="str">
        <f t="shared" si="0"/>
        <v>LIOb1</v>
      </c>
      <c r="Y93" s="457">
        <f>1</f>
        <v>1</v>
      </c>
    </row>
    <row r="94" spans="1:39" ht="12.75" x14ac:dyDescent="0.2">
      <c r="A94" s="448">
        <v>1</v>
      </c>
      <c r="B94" s="453"/>
      <c r="C94" s="453"/>
      <c r="D94" s="453"/>
      <c r="E94" s="453"/>
      <c r="F94" s="489">
        <v>1934.4</v>
      </c>
      <c r="G94" s="453">
        <v>1941</v>
      </c>
      <c r="H94" s="453">
        <v>2013</v>
      </c>
      <c r="I94" s="453">
        <v>2047</v>
      </c>
      <c r="J94" s="453">
        <v>2086</v>
      </c>
      <c r="K94" s="453">
        <v>2124</v>
      </c>
      <c r="L94" s="453">
        <v>2175</v>
      </c>
      <c r="M94" s="453"/>
      <c r="N94" s="453"/>
      <c r="O94" s="453"/>
      <c r="P94" s="453"/>
      <c r="Q94" s="453"/>
      <c r="R94" s="453"/>
      <c r="S94" s="453"/>
      <c r="T94" s="453"/>
      <c r="U94" s="453"/>
      <c r="V94" s="459">
        <v>7</v>
      </c>
      <c r="W94" s="445" t="s">
        <v>331</v>
      </c>
      <c r="X94" s="456" t="str">
        <f t="shared" si="0"/>
        <v>17</v>
      </c>
      <c r="Y94" s="457">
        <f>1</f>
        <v>1</v>
      </c>
    </row>
    <row r="95" spans="1:39" ht="12.75" x14ac:dyDescent="0.2">
      <c r="A95" s="448">
        <v>2</v>
      </c>
      <c r="B95" s="453"/>
      <c r="C95" s="453"/>
      <c r="D95" s="453"/>
      <c r="E95" s="453"/>
      <c r="F95" s="489">
        <v>1934.4</v>
      </c>
      <c r="G95" s="453">
        <v>1979</v>
      </c>
      <c r="H95" s="453">
        <v>2047</v>
      </c>
      <c r="I95" s="453">
        <v>2124</v>
      </c>
      <c r="J95" s="453">
        <v>2175</v>
      </c>
      <c r="K95" s="453">
        <v>2234</v>
      </c>
      <c r="L95" s="453">
        <v>2306</v>
      </c>
      <c r="M95" s="453">
        <v>2373</v>
      </c>
      <c r="N95" s="453"/>
      <c r="O95" s="453"/>
      <c r="P95" s="453"/>
      <c r="Q95" s="453"/>
      <c r="R95" s="453"/>
      <c r="S95" s="453"/>
      <c r="T95" s="453"/>
      <c r="U95" s="453"/>
      <c r="V95" s="459">
        <v>8</v>
      </c>
      <c r="W95" s="445" t="s">
        <v>331</v>
      </c>
      <c r="X95" s="456" t="str">
        <f t="shared" si="0"/>
        <v>28</v>
      </c>
      <c r="Y95" s="457">
        <f>1</f>
        <v>1</v>
      </c>
    </row>
    <row r="96" spans="1:39" ht="12.75" x14ac:dyDescent="0.2">
      <c r="A96" s="448">
        <v>3</v>
      </c>
      <c r="B96" s="453"/>
      <c r="C96" s="453"/>
      <c r="D96" s="453"/>
      <c r="E96" s="453"/>
      <c r="F96" s="489">
        <v>1934.4</v>
      </c>
      <c r="G96" s="453">
        <v>2047</v>
      </c>
      <c r="H96" s="453">
        <v>2124</v>
      </c>
      <c r="I96" s="453">
        <v>2234</v>
      </c>
      <c r="J96" s="453">
        <v>2306</v>
      </c>
      <c r="K96" s="453">
        <v>2373</v>
      </c>
      <c r="L96" s="453">
        <v>2439</v>
      </c>
      <c r="M96" s="453">
        <v>2504</v>
      </c>
      <c r="N96" s="453">
        <v>2568</v>
      </c>
      <c r="O96" s="453"/>
      <c r="P96" s="453"/>
      <c r="Q96" s="453"/>
      <c r="R96" s="453"/>
      <c r="S96" s="453"/>
      <c r="T96" s="453"/>
      <c r="U96" s="453"/>
      <c r="V96" s="459">
        <v>9</v>
      </c>
      <c r="W96" s="445" t="s">
        <v>331</v>
      </c>
      <c r="X96" s="456" t="str">
        <f t="shared" si="0"/>
        <v>39</v>
      </c>
      <c r="Y96" s="457">
        <f>1</f>
        <v>1</v>
      </c>
    </row>
    <row r="97" spans="1:25" ht="12.75" x14ac:dyDescent="0.2">
      <c r="A97" s="448">
        <v>4</v>
      </c>
      <c r="B97" s="453"/>
      <c r="C97" s="453"/>
      <c r="D97" s="453"/>
      <c r="E97" s="453"/>
      <c r="F97" s="453">
        <v>1942</v>
      </c>
      <c r="G97" s="453">
        <v>2047</v>
      </c>
      <c r="H97" s="453">
        <v>2124</v>
      </c>
      <c r="I97" s="453">
        <v>2234</v>
      </c>
      <c r="J97" s="453">
        <v>2306</v>
      </c>
      <c r="K97" s="453">
        <v>2373</v>
      </c>
      <c r="L97" s="453">
        <v>2439</v>
      </c>
      <c r="M97" s="453">
        <v>2504</v>
      </c>
      <c r="N97" s="453">
        <v>2568</v>
      </c>
      <c r="O97" s="453">
        <v>2630</v>
      </c>
      <c r="P97" s="453">
        <v>2692</v>
      </c>
      <c r="Q97" s="453"/>
      <c r="R97" s="453"/>
      <c r="S97" s="453"/>
      <c r="T97" s="453"/>
      <c r="U97" s="453"/>
      <c r="V97" s="459">
        <v>11</v>
      </c>
      <c r="W97" s="445" t="s">
        <v>331</v>
      </c>
      <c r="X97" s="456" t="str">
        <f t="shared" si="0"/>
        <v>411</v>
      </c>
      <c r="Y97" s="457">
        <f>1</f>
        <v>1</v>
      </c>
    </row>
    <row r="98" spans="1:25" ht="12.75" x14ac:dyDescent="0.2">
      <c r="A98" s="448">
        <v>5</v>
      </c>
      <c r="B98" s="453"/>
      <c r="C98" s="453"/>
      <c r="D98" s="453"/>
      <c r="E98" s="453"/>
      <c r="F98" s="453">
        <v>1979</v>
      </c>
      <c r="G98" s="453">
        <v>2047</v>
      </c>
      <c r="H98" s="453">
        <v>2124</v>
      </c>
      <c r="I98" s="453">
        <v>2234</v>
      </c>
      <c r="J98" s="453">
        <v>2373</v>
      </c>
      <c r="K98" s="453">
        <v>2439</v>
      </c>
      <c r="L98" s="453">
        <v>2504</v>
      </c>
      <c r="M98" s="453">
        <v>2568</v>
      </c>
      <c r="N98" s="453">
        <v>2630</v>
      </c>
      <c r="O98" s="453">
        <v>2692</v>
      </c>
      <c r="P98" s="453">
        <v>2755</v>
      </c>
      <c r="Q98" s="453">
        <v>2827</v>
      </c>
      <c r="R98" s="453"/>
      <c r="S98" s="453"/>
      <c r="T98" s="453"/>
      <c r="U98" s="453"/>
      <c r="V98" s="459">
        <v>12</v>
      </c>
      <c r="W98" s="445" t="s">
        <v>331</v>
      </c>
      <c r="X98" s="456" t="str">
        <f t="shared" si="0"/>
        <v>512</v>
      </c>
      <c r="Y98" s="457">
        <f>1</f>
        <v>1</v>
      </c>
    </row>
    <row r="99" spans="1:25" ht="12.75" x14ac:dyDescent="0.2">
      <c r="A99" s="448">
        <v>6</v>
      </c>
      <c r="B99" s="453"/>
      <c r="C99" s="453"/>
      <c r="D99" s="453"/>
      <c r="E99" s="453"/>
      <c r="F99" s="453">
        <v>2047</v>
      </c>
      <c r="G99" s="453">
        <v>2124</v>
      </c>
      <c r="H99" s="453">
        <v>2373</v>
      </c>
      <c r="I99" s="453">
        <v>2504</v>
      </c>
      <c r="J99" s="453">
        <v>2568</v>
      </c>
      <c r="K99" s="453">
        <v>2630</v>
      </c>
      <c r="L99" s="453">
        <v>2692</v>
      </c>
      <c r="M99" s="453">
        <v>2755</v>
      </c>
      <c r="N99" s="453">
        <v>2827</v>
      </c>
      <c r="O99" s="453">
        <v>2896</v>
      </c>
      <c r="P99" s="453">
        <v>2961</v>
      </c>
      <c r="Q99" s="453"/>
      <c r="R99" s="453"/>
      <c r="S99" s="453"/>
      <c r="T99" s="453"/>
      <c r="U99" s="453"/>
      <c r="V99" s="459">
        <v>11</v>
      </c>
      <c r="W99" s="445" t="s">
        <v>331</v>
      </c>
      <c r="X99" s="456" t="str">
        <f t="shared" si="0"/>
        <v>611</v>
      </c>
      <c r="Y99" s="457">
        <f>1</f>
        <v>1</v>
      </c>
    </row>
    <row r="100" spans="1:25" ht="12.75" x14ac:dyDescent="0.2">
      <c r="A100" s="448">
        <v>7</v>
      </c>
      <c r="B100" s="453"/>
      <c r="C100" s="453"/>
      <c r="D100" s="453"/>
      <c r="E100" s="453"/>
      <c r="F100" s="453">
        <v>2175</v>
      </c>
      <c r="G100" s="453">
        <v>2234</v>
      </c>
      <c r="H100" s="453">
        <v>2373</v>
      </c>
      <c r="I100" s="453">
        <v>2630</v>
      </c>
      <c r="J100" s="453">
        <v>2755</v>
      </c>
      <c r="K100" s="453">
        <v>2827</v>
      </c>
      <c r="L100" s="453">
        <v>2896</v>
      </c>
      <c r="M100" s="453">
        <v>2961</v>
      </c>
      <c r="N100" s="453">
        <v>3031</v>
      </c>
      <c r="O100" s="453">
        <v>3104</v>
      </c>
      <c r="P100" s="453">
        <v>3177</v>
      </c>
      <c r="Q100" s="453">
        <v>3262</v>
      </c>
      <c r="R100" s="453"/>
      <c r="S100" s="453"/>
      <c r="T100" s="453"/>
      <c r="U100" s="453"/>
      <c r="V100" s="459">
        <v>12</v>
      </c>
      <c r="W100" s="445" t="s">
        <v>331</v>
      </c>
      <c r="X100" s="456" t="str">
        <f t="shared" si="0"/>
        <v>712</v>
      </c>
      <c r="Y100" s="457">
        <f>1</f>
        <v>1</v>
      </c>
    </row>
    <row r="101" spans="1:25" ht="12.75" x14ac:dyDescent="0.2">
      <c r="A101" s="448">
        <v>8</v>
      </c>
      <c r="B101" s="453"/>
      <c r="C101" s="453"/>
      <c r="D101" s="453"/>
      <c r="E101" s="453"/>
      <c r="F101" s="453">
        <v>2439</v>
      </c>
      <c r="G101" s="453">
        <v>2504</v>
      </c>
      <c r="H101" s="453">
        <v>2630</v>
      </c>
      <c r="I101" s="453">
        <v>2896</v>
      </c>
      <c r="J101" s="453">
        <v>3031</v>
      </c>
      <c r="K101" s="453">
        <v>3177</v>
      </c>
      <c r="L101" s="453">
        <v>3262</v>
      </c>
      <c r="M101" s="453">
        <v>3339</v>
      </c>
      <c r="N101" s="453">
        <v>3407</v>
      </c>
      <c r="O101" s="453">
        <v>3481</v>
      </c>
      <c r="P101" s="453">
        <v>3554</v>
      </c>
      <c r="Q101" s="453">
        <v>3622</v>
      </c>
      <c r="R101" s="453">
        <v>3686</v>
      </c>
      <c r="S101" s="453"/>
      <c r="T101" s="453"/>
      <c r="U101" s="453"/>
      <c r="V101" s="459">
        <v>13</v>
      </c>
      <c r="W101" s="445" t="s">
        <v>331</v>
      </c>
      <c r="X101" s="456" t="str">
        <f t="shared" si="0"/>
        <v>813</v>
      </c>
      <c r="Y101" s="457">
        <f>1</f>
        <v>1</v>
      </c>
    </row>
    <row r="102" spans="1:25" ht="12.75" x14ac:dyDescent="0.2">
      <c r="A102" s="448">
        <v>9</v>
      </c>
      <c r="B102" s="453"/>
      <c r="C102" s="453"/>
      <c r="D102" s="453"/>
      <c r="E102" s="453"/>
      <c r="F102" s="453">
        <v>2755</v>
      </c>
      <c r="G102" s="453">
        <v>2896</v>
      </c>
      <c r="H102" s="453">
        <v>3177</v>
      </c>
      <c r="I102" s="453">
        <v>3339</v>
      </c>
      <c r="J102" s="453">
        <v>3481</v>
      </c>
      <c r="K102" s="453">
        <v>3622</v>
      </c>
      <c r="L102" s="453">
        <v>3757</v>
      </c>
      <c r="M102" s="453">
        <v>3890</v>
      </c>
      <c r="N102" s="453">
        <v>4035</v>
      </c>
      <c r="O102" s="453">
        <v>4164</v>
      </c>
      <c r="P102" s="453"/>
      <c r="Q102" s="453"/>
      <c r="R102" s="453"/>
      <c r="S102" s="453"/>
      <c r="T102" s="453"/>
      <c r="U102" s="453"/>
      <c r="V102" s="459">
        <v>10</v>
      </c>
      <c r="W102" s="445" t="s">
        <v>331</v>
      </c>
      <c r="X102" s="456" t="str">
        <f t="shared" si="0"/>
        <v>910</v>
      </c>
      <c r="Y102" s="457">
        <f>1</f>
        <v>1</v>
      </c>
    </row>
    <row r="103" spans="1:25" ht="12.75" x14ac:dyDescent="0.2">
      <c r="A103" s="448">
        <v>10</v>
      </c>
      <c r="B103" s="453"/>
      <c r="C103" s="453"/>
      <c r="D103" s="453"/>
      <c r="E103" s="453"/>
      <c r="F103" s="453">
        <v>2755</v>
      </c>
      <c r="G103" s="453">
        <v>3031</v>
      </c>
      <c r="H103" s="453">
        <v>3177</v>
      </c>
      <c r="I103" s="453">
        <v>3339</v>
      </c>
      <c r="J103" s="453">
        <v>3481</v>
      </c>
      <c r="K103" s="453">
        <v>3622</v>
      </c>
      <c r="L103" s="453">
        <v>3757</v>
      </c>
      <c r="M103" s="453">
        <v>3890</v>
      </c>
      <c r="N103" s="453">
        <v>4035</v>
      </c>
      <c r="O103" s="453">
        <v>4164</v>
      </c>
      <c r="P103" s="453">
        <v>4296</v>
      </c>
      <c r="Q103" s="453">
        <v>4425</v>
      </c>
      <c r="R103" s="453">
        <v>4573</v>
      </c>
      <c r="S103" s="453"/>
      <c r="T103" s="453"/>
      <c r="U103" s="453"/>
      <c r="V103" s="459">
        <v>13</v>
      </c>
      <c r="W103" s="445" t="s">
        <v>331</v>
      </c>
      <c r="X103" s="456" t="str">
        <f t="shared" si="0"/>
        <v>1013</v>
      </c>
      <c r="Y103" s="457">
        <f>1</f>
        <v>1</v>
      </c>
    </row>
    <row r="104" spans="1:25" ht="12.75" x14ac:dyDescent="0.2">
      <c r="A104" s="448">
        <v>11</v>
      </c>
      <c r="B104" s="453"/>
      <c r="C104" s="453"/>
      <c r="D104" s="453"/>
      <c r="E104" s="453"/>
      <c r="F104" s="453">
        <v>2896</v>
      </c>
      <c r="G104" s="453">
        <v>3031</v>
      </c>
      <c r="H104" s="453">
        <v>3181</v>
      </c>
      <c r="I104" s="453">
        <v>3341</v>
      </c>
      <c r="J104" s="453">
        <v>3491</v>
      </c>
      <c r="K104" s="453">
        <v>3641</v>
      </c>
      <c r="L104" s="453">
        <v>3793</v>
      </c>
      <c r="M104" s="453">
        <v>4035</v>
      </c>
      <c r="N104" s="453">
        <v>4196</v>
      </c>
      <c r="O104" s="453">
        <v>4358</v>
      </c>
      <c r="P104" s="453">
        <v>4520</v>
      </c>
      <c r="Q104" s="453">
        <v>4682</v>
      </c>
      <c r="R104" s="453">
        <v>4844</v>
      </c>
      <c r="S104" s="453">
        <v>5006</v>
      </c>
      <c r="T104" s="453">
        <v>5169</v>
      </c>
      <c r="U104" s="453">
        <v>5329</v>
      </c>
      <c r="V104" s="459">
        <v>16</v>
      </c>
      <c r="W104" s="445" t="s">
        <v>331</v>
      </c>
      <c r="X104" s="456" t="str">
        <f t="shared" si="0"/>
        <v>1116</v>
      </c>
      <c r="Y104" s="457">
        <f>1</f>
        <v>1</v>
      </c>
    </row>
    <row r="105" spans="1:25" ht="12.75" x14ac:dyDescent="0.2">
      <c r="A105" s="448">
        <v>12</v>
      </c>
      <c r="B105" s="453"/>
      <c r="C105" s="453"/>
      <c r="D105" s="453"/>
      <c r="E105" s="453"/>
      <c r="F105" s="453">
        <v>3031</v>
      </c>
      <c r="G105" s="453">
        <v>3210</v>
      </c>
      <c r="H105" s="453">
        <v>3417</v>
      </c>
      <c r="I105" s="453">
        <v>3626</v>
      </c>
      <c r="J105" s="453">
        <v>3833</v>
      </c>
      <c r="K105" s="453">
        <v>4068</v>
      </c>
      <c r="L105" s="453">
        <v>4329</v>
      </c>
      <c r="M105" s="453">
        <v>4621</v>
      </c>
      <c r="N105" s="453">
        <v>4938</v>
      </c>
      <c r="O105" s="453">
        <v>5284</v>
      </c>
      <c r="P105" s="453">
        <v>5657</v>
      </c>
      <c r="Q105" s="453">
        <v>6059</v>
      </c>
      <c r="R105" s="453"/>
      <c r="S105" s="453"/>
      <c r="T105" s="453"/>
      <c r="U105" s="453"/>
      <c r="V105" s="459">
        <v>12</v>
      </c>
      <c r="W105" s="445" t="s">
        <v>331</v>
      </c>
      <c r="X105" s="456" t="str">
        <f t="shared" si="0"/>
        <v>1212</v>
      </c>
      <c r="Y105" s="457">
        <f>1</f>
        <v>1</v>
      </c>
    </row>
    <row r="106" spans="1:25" ht="12.75" x14ac:dyDescent="0.2">
      <c r="A106" s="448">
        <v>13</v>
      </c>
      <c r="B106" s="453"/>
      <c r="C106" s="453"/>
      <c r="D106" s="453"/>
      <c r="E106" s="453"/>
      <c r="F106" s="453">
        <v>4715</v>
      </c>
      <c r="G106" s="453">
        <v>4857</v>
      </c>
      <c r="H106" s="453">
        <v>4991</v>
      </c>
      <c r="I106" s="453">
        <v>5128</v>
      </c>
      <c r="J106" s="453">
        <v>5260</v>
      </c>
      <c r="K106" s="453">
        <v>5535</v>
      </c>
      <c r="L106" s="453">
        <v>5668</v>
      </c>
      <c r="M106" s="453">
        <v>5803</v>
      </c>
      <c r="N106" s="453">
        <v>5973</v>
      </c>
      <c r="O106" s="453">
        <v>6144</v>
      </c>
      <c r="P106" s="453">
        <v>6314</v>
      </c>
      <c r="Q106" s="453">
        <v>6486</v>
      </c>
      <c r="R106" s="453">
        <v>6568</v>
      </c>
      <c r="S106" s="453"/>
      <c r="T106" s="453"/>
      <c r="U106" s="453"/>
      <c r="V106" s="459">
        <v>13</v>
      </c>
      <c r="W106" s="445" t="s">
        <v>331</v>
      </c>
      <c r="X106" s="456" t="str">
        <f t="shared" si="0"/>
        <v>1313</v>
      </c>
      <c r="Y106" s="457">
        <f>1</f>
        <v>1</v>
      </c>
    </row>
    <row r="107" spans="1:25" ht="12.75" x14ac:dyDescent="0.2">
      <c r="A107" s="448">
        <v>14</v>
      </c>
      <c r="B107" s="453"/>
      <c r="C107" s="453"/>
      <c r="D107" s="453"/>
      <c r="E107" s="453"/>
      <c r="F107" s="453">
        <v>5399</v>
      </c>
      <c r="G107" s="453">
        <v>5535</v>
      </c>
      <c r="H107" s="453">
        <v>5803</v>
      </c>
      <c r="I107" s="453">
        <v>5973</v>
      </c>
      <c r="J107" s="453">
        <v>6144</v>
      </c>
      <c r="K107" s="453">
        <v>6314</v>
      </c>
      <c r="L107" s="453">
        <v>6486</v>
      </c>
      <c r="M107" s="453">
        <v>6658</v>
      </c>
      <c r="N107" s="453">
        <v>6838</v>
      </c>
      <c r="O107" s="453">
        <v>7024</v>
      </c>
      <c r="P107" s="453">
        <v>7215</v>
      </c>
      <c r="Q107" s="453"/>
      <c r="R107" s="453"/>
      <c r="S107" s="453"/>
      <c r="T107" s="453"/>
      <c r="U107" s="453"/>
      <c r="V107" s="459">
        <v>11</v>
      </c>
      <c r="W107" s="445" t="s">
        <v>331</v>
      </c>
      <c r="X107" s="456" t="str">
        <f t="shared" si="0"/>
        <v>1411</v>
      </c>
      <c r="Y107" s="457">
        <f>1</f>
        <v>1</v>
      </c>
    </row>
    <row r="108" spans="1:25" ht="12.75" x14ac:dyDescent="0.2">
      <c r="A108" s="448">
        <v>15</v>
      </c>
      <c r="B108" s="453"/>
      <c r="C108" s="453"/>
      <c r="D108" s="453"/>
      <c r="E108" s="453"/>
      <c r="F108" s="453">
        <v>5668</v>
      </c>
      <c r="G108" s="453">
        <v>5803</v>
      </c>
      <c r="H108" s="453">
        <v>5973</v>
      </c>
      <c r="I108" s="453">
        <v>6314</v>
      </c>
      <c r="J108" s="453">
        <v>6486</v>
      </c>
      <c r="K108" s="453">
        <v>6658</v>
      </c>
      <c r="L108" s="453">
        <v>6838</v>
      </c>
      <c r="M108" s="453">
        <v>7024</v>
      </c>
      <c r="N108" s="453">
        <v>7215</v>
      </c>
      <c r="O108" s="453">
        <v>7443</v>
      </c>
      <c r="P108" s="453">
        <v>7680</v>
      </c>
      <c r="Q108" s="453">
        <v>7922</v>
      </c>
      <c r="R108" s="453"/>
      <c r="S108" s="453"/>
      <c r="T108" s="453"/>
      <c r="U108" s="453"/>
      <c r="V108" s="459">
        <v>12</v>
      </c>
      <c r="W108" s="445" t="s">
        <v>331</v>
      </c>
      <c r="X108" s="456" t="str">
        <f t="shared" si="0"/>
        <v>1512</v>
      </c>
      <c r="Y108" s="457">
        <f>1</f>
        <v>1</v>
      </c>
    </row>
    <row r="109" spans="1:25" ht="12.75" x14ac:dyDescent="0.2">
      <c r="A109" s="448">
        <v>16</v>
      </c>
      <c r="B109" s="453"/>
      <c r="C109" s="453"/>
      <c r="D109" s="453"/>
      <c r="E109" s="453"/>
      <c r="F109" s="453">
        <v>6144</v>
      </c>
      <c r="G109" s="453">
        <v>6314</v>
      </c>
      <c r="H109" s="453">
        <v>6486</v>
      </c>
      <c r="I109" s="453">
        <v>6838</v>
      </c>
      <c r="J109" s="453">
        <v>7024</v>
      </c>
      <c r="K109" s="453">
        <v>7215</v>
      </c>
      <c r="L109" s="453">
        <v>7443</v>
      </c>
      <c r="M109" s="453">
        <v>7680</v>
      </c>
      <c r="N109" s="453">
        <v>7922</v>
      </c>
      <c r="O109" s="453">
        <v>8176</v>
      </c>
      <c r="P109" s="453">
        <v>8433</v>
      </c>
      <c r="Q109" s="453">
        <v>8702</v>
      </c>
      <c r="R109" s="453"/>
      <c r="S109" s="453"/>
      <c r="T109" s="453"/>
      <c r="U109" s="453"/>
      <c r="V109" s="459">
        <v>12</v>
      </c>
      <c r="W109" s="445" t="s">
        <v>331</v>
      </c>
      <c r="X109" s="456" t="str">
        <f t="shared" si="0"/>
        <v>1612</v>
      </c>
      <c r="Y109" s="457">
        <f>1</f>
        <v>1</v>
      </c>
    </row>
  </sheetData>
  <sheetProtection algorithmName="SHA-512" hashValue="gg2cxEDfSz4wsmBJ8Cb8QvsNUjGgrH6JDSCaXhRONcFqo6wvGDWPFobkBqsMrwn75qzhP8OR+spfU/uxbVMa8Q==" saltValue="FdhRI5ZwhY2FqwcGs4Ziow==" spinCount="100000" sheet="1" objects="1" scenarios="1"/>
  <hyperlinks>
    <hyperlink ref="J16" r:id="rId1"/>
  </hyperlinks>
  <pageMargins left="0.7" right="0.7" top="0.75" bottom="0.75" header="0.3" footer="0.3"/>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selection activeCell="G4" sqref="G4"/>
    </sheetView>
  </sheetViews>
  <sheetFormatPr defaultRowHeight="12.75" x14ac:dyDescent="0.2"/>
  <cols>
    <col min="1" max="1" width="34.140625" bestFit="1" customWidth="1"/>
    <col min="2" max="2" width="19.7109375" customWidth="1"/>
  </cols>
  <sheetData>
    <row r="1" spans="1:7" ht="18.75" x14ac:dyDescent="0.3">
      <c r="A1" s="495" t="s">
        <v>367</v>
      </c>
      <c r="B1" s="393"/>
      <c r="C1" s="393"/>
      <c r="D1" s="393"/>
      <c r="E1" s="393"/>
    </row>
    <row r="2" spans="1:7" x14ac:dyDescent="0.2">
      <c r="C2" s="387"/>
      <c r="D2" s="387"/>
      <c r="E2" s="387"/>
    </row>
    <row r="3" spans="1:7" x14ac:dyDescent="0.2">
      <c r="A3" s="403" t="s">
        <v>76</v>
      </c>
      <c r="B3" s="405">
        <v>2023</v>
      </c>
      <c r="C3" s="406" t="s">
        <v>344</v>
      </c>
      <c r="D3" s="387"/>
      <c r="E3" s="387"/>
      <c r="F3" t="s">
        <v>369</v>
      </c>
      <c r="G3" s="494" t="s">
        <v>370</v>
      </c>
    </row>
    <row r="4" spans="1:7" x14ac:dyDescent="0.2">
      <c r="A4" s="403"/>
      <c r="B4" s="496"/>
      <c r="C4" s="497"/>
      <c r="D4" s="387"/>
      <c r="E4" s="387"/>
    </row>
    <row r="5" spans="1:7" x14ac:dyDescent="0.2">
      <c r="A5" s="1" t="s">
        <v>108</v>
      </c>
      <c r="B5" s="498">
        <v>20699</v>
      </c>
      <c r="C5" s="497"/>
      <c r="D5" s="387"/>
      <c r="E5" s="387"/>
    </row>
    <row r="6" spans="1:7" x14ac:dyDescent="0.2">
      <c r="A6" s="8" t="s">
        <v>107</v>
      </c>
      <c r="B6" s="8"/>
      <c r="C6" s="8"/>
      <c r="D6" s="8"/>
      <c r="E6" s="8"/>
    </row>
    <row r="7" spans="1:7" x14ac:dyDescent="0.2">
      <c r="A7" s="1" t="s">
        <v>31</v>
      </c>
      <c r="B7" s="1" t="s">
        <v>105</v>
      </c>
      <c r="C7" s="3" t="s">
        <v>106</v>
      </c>
      <c r="D7" s="1"/>
      <c r="E7" s="1"/>
    </row>
    <row r="8" spans="1:7" x14ac:dyDescent="0.2">
      <c r="A8" s="1">
        <v>1</v>
      </c>
      <c r="B8" s="18">
        <v>0</v>
      </c>
      <c r="C8" s="4">
        <v>0.36930000000000002</v>
      </c>
      <c r="D8" s="1">
        <v>0</v>
      </c>
      <c r="E8" s="1"/>
    </row>
    <row r="9" spans="1:7" x14ac:dyDescent="0.2">
      <c r="A9" s="1">
        <v>2</v>
      </c>
      <c r="B9" s="18">
        <v>73031</v>
      </c>
      <c r="C9" s="4">
        <v>0.495</v>
      </c>
      <c r="D9" s="20">
        <f>ROUND(C8*B9,0)</f>
        <v>26970</v>
      </c>
      <c r="E9" s="20"/>
    </row>
    <row r="10" spans="1:7" x14ac:dyDescent="0.2">
      <c r="A10" s="1"/>
      <c r="B10" s="1"/>
      <c r="C10" s="4"/>
      <c r="D10" s="1"/>
      <c r="E10" s="1"/>
    </row>
    <row r="11" spans="1:7" x14ac:dyDescent="0.2">
      <c r="A11" s="1" t="s">
        <v>113</v>
      </c>
      <c r="B11" s="1"/>
      <c r="C11" s="1"/>
      <c r="D11" s="1"/>
      <c r="E11" s="1"/>
    </row>
    <row r="12" spans="1:7" x14ac:dyDescent="0.2">
      <c r="A12" s="1" t="s">
        <v>31</v>
      </c>
      <c r="B12" s="1" t="s">
        <v>105</v>
      </c>
      <c r="C12" s="3" t="s">
        <v>106</v>
      </c>
      <c r="D12" s="3" t="s">
        <v>109</v>
      </c>
      <c r="E12" s="3"/>
    </row>
    <row r="13" spans="1:7" x14ac:dyDescent="0.2">
      <c r="A13" s="1">
        <v>1</v>
      </c>
      <c r="B13" s="18">
        <v>0</v>
      </c>
      <c r="C13" s="4">
        <v>0.1903</v>
      </c>
      <c r="D13" s="1">
        <v>0</v>
      </c>
      <c r="E13" s="1"/>
    </row>
    <row r="14" spans="1:7" x14ac:dyDescent="0.2">
      <c r="A14" s="1">
        <v>2</v>
      </c>
      <c r="B14" s="18">
        <v>37149</v>
      </c>
      <c r="C14" s="4">
        <v>0.36930000000000002</v>
      </c>
      <c r="D14" s="20">
        <f>ROUND(C13*B14,0)</f>
        <v>7069</v>
      </c>
      <c r="E14" s="20"/>
    </row>
    <row r="15" spans="1:7" x14ac:dyDescent="0.2">
      <c r="A15" s="1">
        <v>3</v>
      </c>
      <c r="B15" s="18">
        <v>73031</v>
      </c>
      <c r="C15" s="4">
        <v>0.495</v>
      </c>
      <c r="D15" s="20">
        <f>ROUND(C14*B15-D14,0)</f>
        <v>19901</v>
      </c>
      <c r="E15" s="20"/>
    </row>
    <row r="16" spans="1:7" x14ac:dyDescent="0.2">
      <c r="A16" s="1"/>
      <c r="B16" s="1"/>
      <c r="C16" s="1"/>
      <c r="D16" s="1"/>
      <c r="E16" s="1"/>
    </row>
    <row r="17" spans="1:5" x14ac:dyDescent="0.2">
      <c r="A17" s="1"/>
      <c r="B17" s="1"/>
      <c r="C17" s="1"/>
      <c r="D17" s="1"/>
      <c r="E17" s="1"/>
    </row>
    <row r="18" spans="1:5" x14ac:dyDescent="0.2">
      <c r="A18" s="1"/>
      <c r="B18" s="1"/>
      <c r="C18" s="1"/>
      <c r="D18" s="1"/>
      <c r="E18" s="1"/>
    </row>
    <row r="19" spans="1:5" x14ac:dyDescent="0.2">
      <c r="A19" s="1" t="s">
        <v>114</v>
      </c>
      <c r="B19" s="1"/>
      <c r="C19" s="1"/>
      <c r="D19" s="1"/>
      <c r="E19" s="1"/>
    </row>
    <row r="20" spans="1:5" x14ac:dyDescent="0.2">
      <c r="A20" s="1" t="s">
        <v>352</v>
      </c>
      <c r="B20" s="20">
        <v>0</v>
      </c>
      <c r="C20" s="25">
        <v>3070</v>
      </c>
      <c r="D20" s="1"/>
      <c r="E20" s="1"/>
    </row>
    <row r="21" spans="1:5" x14ac:dyDescent="0.2">
      <c r="A21" s="1" t="s">
        <v>353</v>
      </c>
      <c r="B21" s="19">
        <v>22661</v>
      </c>
      <c r="C21" s="10">
        <v>6.0949999999999997E-2</v>
      </c>
      <c r="D21" s="1"/>
      <c r="E21" s="1"/>
    </row>
    <row r="22" spans="1:5" x14ac:dyDescent="0.2">
      <c r="A22" s="1" t="s">
        <v>354</v>
      </c>
      <c r="B22" s="19">
        <v>73031</v>
      </c>
      <c r="C22" s="1">
        <v>0</v>
      </c>
      <c r="D22" s="1"/>
      <c r="E22" s="1"/>
    </row>
    <row r="23" spans="1:5" x14ac:dyDescent="0.2">
      <c r="A23" s="1"/>
      <c r="B23" s="1"/>
      <c r="C23" s="1"/>
      <c r="D23" s="1"/>
      <c r="E23" s="1"/>
    </row>
    <row r="24" spans="1:5" x14ac:dyDescent="0.2">
      <c r="A24" s="1" t="s">
        <v>118</v>
      </c>
      <c r="B24" s="1" t="s">
        <v>117</v>
      </c>
      <c r="C24" s="1"/>
      <c r="D24" s="1"/>
      <c r="E24" s="1"/>
    </row>
    <row r="25" spans="1:5" x14ac:dyDescent="0.2">
      <c r="A25" s="1" t="s">
        <v>352</v>
      </c>
      <c r="B25" s="20">
        <v>0</v>
      </c>
      <c r="C25" s="20">
        <v>1583</v>
      </c>
      <c r="D25" s="1"/>
      <c r="E25" s="1"/>
    </row>
    <row r="26" spans="1:5" x14ac:dyDescent="0.2">
      <c r="A26" s="1" t="s">
        <v>355</v>
      </c>
      <c r="B26" s="19">
        <v>22661</v>
      </c>
      <c r="C26" s="10">
        <v>3.141E-2</v>
      </c>
      <c r="D26" s="1"/>
      <c r="E26" s="1"/>
    </row>
    <row r="27" spans="1:5" x14ac:dyDescent="0.2">
      <c r="A27" s="1" t="s">
        <v>356</v>
      </c>
      <c r="B27" s="19">
        <v>73031</v>
      </c>
      <c r="C27" s="1">
        <v>0</v>
      </c>
      <c r="D27" s="1"/>
      <c r="E27" s="1"/>
    </row>
    <row r="28" spans="1:5" x14ac:dyDescent="0.2">
      <c r="A28" s="1"/>
      <c r="B28" s="1"/>
      <c r="C28" s="1"/>
      <c r="D28" s="1"/>
      <c r="E28" s="1"/>
    </row>
    <row r="29" spans="1:5" x14ac:dyDescent="0.2">
      <c r="A29" s="1" t="s">
        <v>119</v>
      </c>
      <c r="B29" s="1"/>
      <c r="C29" s="1"/>
      <c r="D29" s="1"/>
      <c r="E29" s="1"/>
    </row>
    <row r="30" spans="1:5" x14ac:dyDescent="0.2">
      <c r="A30" s="1" t="s">
        <v>120</v>
      </c>
      <c r="B30" s="1" t="s">
        <v>119</v>
      </c>
      <c r="C30" s="1"/>
      <c r="D30" s="1"/>
      <c r="E30" s="1"/>
    </row>
    <row r="31" spans="1:5" x14ac:dyDescent="0.2">
      <c r="A31" s="1" t="s">
        <v>357</v>
      </c>
      <c r="B31" s="1" t="s">
        <v>358</v>
      </c>
      <c r="C31" s="1"/>
      <c r="D31" s="1"/>
      <c r="E31" s="1"/>
    </row>
    <row r="32" spans="1:5" x14ac:dyDescent="0.2">
      <c r="A32" s="1" t="s">
        <v>359</v>
      </c>
      <c r="B32" s="1" t="s">
        <v>360</v>
      </c>
      <c r="C32" s="1"/>
      <c r="D32" s="1"/>
      <c r="E32" s="1"/>
    </row>
    <row r="33" spans="1:5" x14ac:dyDescent="0.2">
      <c r="A33" s="1" t="s">
        <v>361</v>
      </c>
      <c r="B33" s="1" t="s">
        <v>362</v>
      </c>
      <c r="C33" s="1"/>
      <c r="D33" s="1"/>
      <c r="E33" s="1"/>
    </row>
    <row r="34" spans="1:5" x14ac:dyDescent="0.2">
      <c r="A34" s="1" t="s">
        <v>363</v>
      </c>
      <c r="B34" s="1" t="s">
        <v>364</v>
      </c>
      <c r="C34" s="1"/>
      <c r="D34" s="1"/>
      <c r="E34" s="1"/>
    </row>
    <row r="35" spans="1:5" x14ac:dyDescent="0.2">
      <c r="A35" s="1" t="s">
        <v>365</v>
      </c>
      <c r="B35" s="1" t="s">
        <v>112</v>
      </c>
      <c r="C35" s="1"/>
      <c r="D35" s="1"/>
      <c r="E35" s="1"/>
    </row>
    <row r="36" spans="1:5" x14ac:dyDescent="0.2">
      <c r="A36" s="1"/>
      <c r="B36" s="1"/>
      <c r="C36" s="1"/>
      <c r="D36" s="1"/>
      <c r="E36" s="1"/>
    </row>
    <row r="37" spans="1:5" x14ac:dyDescent="0.2">
      <c r="A37" s="1"/>
      <c r="B37" s="1">
        <v>0</v>
      </c>
      <c r="C37" s="1">
        <v>0</v>
      </c>
      <c r="D37" s="24">
        <v>8.2309999999999994E-2</v>
      </c>
      <c r="E37" s="1">
        <v>0</v>
      </c>
    </row>
    <row r="38" spans="1:5" x14ac:dyDescent="0.2">
      <c r="A38" s="1"/>
      <c r="B38" s="1">
        <v>10741</v>
      </c>
      <c r="C38" s="1">
        <v>884</v>
      </c>
      <c r="D38" s="24">
        <v>0.29860999999999999</v>
      </c>
      <c r="E38" s="1">
        <f>B38-1</f>
        <v>10740</v>
      </c>
    </row>
    <row r="39" spans="1:5" x14ac:dyDescent="0.2">
      <c r="A39" s="1"/>
      <c r="B39" s="1">
        <v>23201</v>
      </c>
      <c r="C39" s="1">
        <v>4605</v>
      </c>
      <c r="D39" s="24">
        <v>3.0849999999999999E-2</v>
      </c>
      <c r="E39" s="1">
        <f>B39-1</f>
        <v>23200</v>
      </c>
    </row>
    <row r="40" spans="1:5" x14ac:dyDescent="0.2">
      <c r="A40" s="1"/>
      <c r="B40" s="1">
        <v>37691</v>
      </c>
      <c r="C40" s="1">
        <v>5052</v>
      </c>
      <c r="D40" s="24">
        <v>6.5100000000000005E-2</v>
      </c>
      <c r="E40" s="1">
        <f>B40-1</f>
        <v>37690</v>
      </c>
    </row>
    <row r="41" spans="1:5" x14ac:dyDescent="0.2">
      <c r="A41" s="1"/>
      <c r="B41" s="1">
        <v>115295</v>
      </c>
      <c r="C41" s="1">
        <v>0</v>
      </c>
      <c r="D41" s="9">
        <v>0</v>
      </c>
      <c r="E41" s="1">
        <v>0</v>
      </c>
    </row>
    <row r="42" spans="1:5" x14ac:dyDescent="0.2">
      <c r="A42" s="1"/>
      <c r="B42" s="1"/>
      <c r="C42" s="1"/>
      <c r="D42" s="1"/>
      <c r="E42" s="1"/>
    </row>
    <row r="43" spans="1:5" x14ac:dyDescent="0.2">
      <c r="A43" s="393"/>
    </row>
    <row r="44" spans="1:5" x14ac:dyDescent="0.2">
      <c r="A44" s="393"/>
    </row>
  </sheetData>
  <sheetProtection algorithmName="SHA-512" hashValue="DjdCLu6Ib/+2ZvyLMDTOIaaC1Ewg6FH6LYKfV93SnvHTwFOZHbfDAE9ow0X1iviJBPwgofAZsixoPXhM3GOd/Q==" saltValue="AsmDeoSZ6lCnCzG6t5pEXA==" spinCount="100000" sheet="1" objects="1" scenarios="1"/>
  <hyperlinks>
    <hyperlink ref="G3" r:id="rId1"/>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B Y D A A B Q S w M E F A A C A A g A G 6 I u T m z p z s u m A A A A + A A A A B I A H A B D b 2 5 m a W c v U G F j a 2 F n Z S 5 4 b W w g o h g A K K A U A A A A A A A A A A A A A A A A A A A A A A A A A A A A h Y + 9 D o I w G E V f h X S n P x A M I R 9 l c A V j Y m J c m 1 q h E Y q h x f J u D j 6 S r y C J o m 6 O 9 + Q M 5 z 5 u d y i m r g 2 u a r C 6 N z l i m K J A G d k f t a l z N L p T m K K C w 1 b I s 6 h V M M v G Z p M 9 5 q h x 7 p I R 4 r 3 H P s b 9 U J O I U k Y O V b m T j e o E + s j 6 v x x q Y 5 0 w U i E O + 1 c M j / A q w U n M Y s x S B m T B U G n z V a K 5 G F M g P x D W Y + v G Q X H T h p s S y D K B v F / w J 1 B L A w Q U A A I A C A A b o i 5 O 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G 6 I u T i i K R 7 g O A A A A E Q A A A B M A H A B G b 3 J t d W x h c y 9 T Z W N 0 a W 9 u M S 5 t I K I Y A C i g F A A A A A A A A A A A A A A A A A A A A A A A A A A A A C t O T S 7 J z M 9 T C I b Q h t Y A U E s B A i 0 A F A A C A A g A G 6 I u T m z p z s u m A A A A + A A A A B I A A A A A A A A A A A A A A A A A A A A A A E N v b m Z p Z y 9 Q Y W N r Y W d l L n h t b F B L A Q I t A B Q A A g A I A B u i L k 4 P y u m r p A A A A O k A A A A T A A A A A A A A A A A A A A A A A P I A A A B b Q 2 9 u d G V u d F 9 U e X B l c 1 0 u e G 1 s U E s B A i 0 A F A A C A A g A G 6 I u T i 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H f Y m T 6 e e q V O k d g V E v U i v n s A A A A A A g A A A A A A A 2 Y A A M A A A A A Q A A A A + g Q + M W J L 4 U i E y g 1 5 O + A L u g A A A A A E g A A A o A A A A B A A A A D B j l c b n z 5 b 1 k B T C 3 b W 7 m V i U A A A A J 5 e J / 9 C n a 5 O X V 9 L Y 4 q P 5 H f U 4 u c k C d H s u F J t 5 Q 9 C o t h A m h O R L c h v M 9 h G G i M n x U 2 M H u p i f X 5 q / Z m 9 + Q v 0 K i 7 7 z s 5 M X T f t m I Y e T v E x A l / I + 6 P o F A A A A F 0 l K I e X o j j a s S G J t M a n 6 a n C 6 W 0 Q < / D a t a M a s h u p > 
</file>

<file path=customXml/item3.xml><?xml version="1.0" encoding="utf-8"?>
<ct:contentTypeSchema xmlns:ct="http://schemas.microsoft.com/office/2006/metadata/contentType" xmlns:ma="http://schemas.microsoft.com/office/2006/metadata/properties/metaAttributes" ct:_="" ma:_="" ma:contentTypeName="Document" ma:contentTypeID="0x01010086B785A11AD4EA46A393B0A0D76A7FE1" ma:contentTypeVersion="13" ma:contentTypeDescription="Een nieuw document maken." ma:contentTypeScope="" ma:versionID="18bbaa7a891f7ecb0bb687199718fcb3">
  <xsd:schema xmlns:xsd="http://www.w3.org/2001/XMLSchema" xmlns:xs="http://www.w3.org/2001/XMLSchema" xmlns:p="http://schemas.microsoft.com/office/2006/metadata/properties" xmlns:ns2="0cbf5ff0-1d43-40ac-95dd-8e242a8c63b3" xmlns:ns3="437ffa70-4243-426d-a6f9-605fc5849910" targetNamespace="http://schemas.microsoft.com/office/2006/metadata/properties" ma:root="true" ma:fieldsID="0315b2f848482936cfe1e9624249ccdf" ns2:_="" ns3:_="">
    <xsd:import namespace="0cbf5ff0-1d43-40ac-95dd-8e242a8c63b3"/>
    <xsd:import namespace="437ffa70-4243-426d-a6f9-605fc584991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bf5ff0-1d43-40ac-95dd-8e242a8c63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37ffa70-4243-426d-a6f9-605fc5849910" elementFormDefault="qualified">
    <xsd:import namespace="http://schemas.microsoft.com/office/2006/documentManagement/types"/>
    <xsd:import namespace="http://schemas.microsoft.com/office/infopath/2007/PartnerControls"/>
    <xsd:element name="SharedWithUsers" ma:index="1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B9D7B9-37EE-4727-BB89-DC2D3386DCF8}">
  <ds:schemaRefs>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0cbf5ff0-1d43-40ac-95dd-8e242a8c63b3"/>
    <ds:schemaRef ds:uri="http://schemas.microsoft.com/office/2006/documentManagement/types"/>
    <ds:schemaRef ds:uri="http://purl.org/dc/terms/"/>
    <ds:schemaRef ds:uri="437ffa70-4243-426d-a6f9-605fc5849910"/>
    <ds:schemaRef ds:uri="http://www.w3.org/XML/1998/namespace"/>
    <ds:schemaRef ds:uri="http://purl.org/dc/dcmitype/"/>
  </ds:schemaRefs>
</ds:datastoreItem>
</file>

<file path=customXml/itemProps2.xml><?xml version="1.0" encoding="utf-8"?>
<ds:datastoreItem xmlns:ds="http://schemas.openxmlformats.org/officeDocument/2006/customXml" ds:itemID="{E57E7D4B-8705-4861-AC96-7A04EC5B98F6}">
  <ds:schemaRefs>
    <ds:schemaRef ds:uri="http://schemas.microsoft.com/DataMashup"/>
  </ds:schemaRefs>
</ds:datastoreItem>
</file>

<file path=customXml/itemProps3.xml><?xml version="1.0" encoding="utf-8"?>
<ds:datastoreItem xmlns:ds="http://schemas.openxmlformats.org/officeDocument/2006/customXml" ds:itemID="{7FC1DF0C-265A-4FD3-8787-F31A9CD984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bf5ff0-1d43-40ac-95dd-8e242a8c63b3"/>
    <ds:schemaRef ds:uri="437ffa70-4243-426d-a6f9-605fc58499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F15389A-6686-4EF0-98E8-FDDA70A37F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10</vt:i4>
      </vt:variant>
      <vt:variant>
        <vt:lpstr>Benoemde bereiken</vt:lpstr>
      </vt:variant>
      <vt:variant>
        <vt:i4>8</vt:i4>
      </vt:variant>
    </vt:vector>
  </HeadingPairs>
  <TitlesOfParts>
    <vt:vector size="18" baseType="lpstr">
      <vt:lpstr>Startpagina</vt:lpstr>
      <vt:lpstr>Technische toelichting</vt:lpstr>
      <vt:lpstr>Invoer gegevens</vt:lpstr>
      <vt:lpstr>Loonkosten</vt:lpstr>
      <vt:lpstr>Inkomensgevolgen</vt:lpstr>
      <vt:lpstr>Loonkosten uitgebreid</vt:lpstr>
      <vt:lpstr>Inkomensgevolgen uitgebreid</vt:lpstr>
      <vt:lpstr>Tabellen PO-Raad</vt:lpstr>
      <vt:lpstr>Tabellen Loonbelasting</vt:lpstr>
      <vt:lpstr>Hulptabellen</vt:lpstr>
      <vt:lpstr>Arbeidsmarkttoelage2023</vt:lpstr>
      <vt:lpstr>Bindingstoelage2023</vt:lpstr>
      <vt:lpstr>'Invoer gegevens'!Print_Area</vt:lpstr>
      <vt:lpstr>'Loonkosten uitgebreid'!Print_Area</vt:lpstr>
      <vt:lpstr>SALARISGEGEVENS</vt:lpstr>
      <vt:lpstr>Saltab2023</vt:lpstr>
      <vt:lpstr>Stap_1__GEGEVENS_WERKNEMER</vt:lpstr>
      <vt:lpstr>Uitlooptoeslag2023</vt:lpstr>
    </vt:vector>
  </TitlesOfParts>
  <Company>VOS/ABB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Personele kosten onder LS PO</dc:title>
  <dc:creator>Keizer</dc:creator>
  <cp:lastModifiedBy>Hans Schwartz</cp:lastModifiedBy>
  <cp:lastPrinted>2022-02-21T10:15:45Z</cp:lastPrinted>
  <dcterms:created xsi:type="dcterms:W3CDTF">2002-04-23T20:54:25Z</dcterms:created>
  <dcterms:modified xsi:type="dcterms:W3CDTF">2023-01-25T09:55:22Z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0x01010086B785A11AD4EA46A393B0A0D76A7FE1</vt:lpwstr>
  </property>
</Properties>
</file>