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Y:\CAOP\ID2\AD55C05F-42A6-4441-ABAB-AB8034B4D371\0\149000-149999\149166\L\L\"/>
    </mc:Choice>
  </mc:AlternateContent>
  <bookViews>
    <workbookView xWindow="1065" yWindow="105" windowWidth="3930" windowHeight="2040" tabRatio="762" activeTab="4"/>
  </bookViews>
  <sheets>
    <sheet name="Startpagina" sheetId="20" r:id="rId1"/>
    <sheet name="Technische toelichting" sheetId="14" r:id="rId2"/>
    <sheet name="Invoer gegevens" sheetId="15" r:id="rId3"/>
    <sheet name="Loonkosten" sheetId="30" r:id="rId4"/>
    <sheet name="Inkomensgevolgen" sheetId="31" r:id="rId5"/>
    <sheet name="Loonkosten uitgebreid" sheetId="13" state="hidden" r:id="rId6"/>
    <sheet name="Inkomensgevolgen uitgebreid" sheetId="32" state="hidden" r:id="rId7"/>
    <sheet name="Tabellen PO-Raad" sheetId="33" state="hidden" r:id="rId8"/>
    <sheet name="Tabellen Loonbelasting" sheetId="35" state="hidden" r:id="rId9"/>
    <sheet name="Hulptabellen" sheetId="29" state="hidden" r:id="rId10"/>
  </sheets>
  <definedNames>
    <definedName name="AOW_leeftijd">Hulptabellen!$P$6:$S$13</definedName>
    <definedName name="arbeidskorting">#REF!</definedName>
    <definedName name="Arbeidsmarkttoelage2023">'Tabellen PO-Raad'!$B$42:$C$50</definedName>
    <definedName name="Bindingstoelage2023">'Tabellen PO-Raad'!$C$52:$D$65</definedName>
    <definedName name="eindejaarsuitkering_OOP">#REF!</definedName>
    <definedName name="Inkomensgevolgen">#REF!</definedName>
    <definedName name="oktober">'Tabellen PO-Raad'!$B$52</definedName>
    <definedName name="Pop_up_menu_jaren">Hulptabellen!$I$31:$I$40</definedName>
    <definedName name="Pop_up_menu_maanden">Hulptabellen!$I$17:$J$28</definedName>
    <definedName name="premies">#REF!</definedName>
    <definedName name="Print_Area" localSheetId="2">'Invoer gegevens'!$A$1:$X$43</definedName>
    <definedName name="Print_Area" localSheetId="5">'Loonkosten uitgebreid'!$A$1:$AF$66</definedName>
    <definedName name="SALARISGEGEVENS">'Invoer gegevens'!$D$11:$F$34</definedName>
    <definedName name="saltab">'Tabellen PO-Raad'!$B$83</definedName>
    <definedName name="Saltab2023">'Tabellen PO-Raad'!$A$82:$W$114</definedName>
    <definedName name="Stap_1__GEGEVENS_WERKNEMER">'Invoer gegevens'!$C$1</definedName>
    <definedName name="uitlooptoeslag">#REF!</definedName>
    <definedName name="Uitlooptoeslag2023">'Tabellen PO-Raad'!$B$25:$C$28</definedName>
    <definedName name="Werkgeverlasten_PO_2025">'Technische toelichting'!$G$9</definedName>
    <definedName name="WERKGEVERSLASTEN_PO_2021">'Loonkosten uitgebreid'!#REF!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91" i="13" l="1"/>
  <c r="AB91" i="13"/>
  <c r="AA91" i="13"/>
  <c r="Z91" i="13"/>
  <c r="Q91" i="13"/>
  <c r="P91" i="13"/>
  <c r="O91" i="13"/>
  <c r="N91" i="13"/>
  <c r="AB34" i="13"/>
  <c r="AA34" i="13"/>
  <c r="Z34" i="13"/>
  <c r="Q34" i="13"/>
  <c r="P34" i="13"/>
  <c r="O34" i="13"/>
  <c r="N34" i="13"/>
  <c r="C39" i="35" l="1"/>
  <c r="C40" i="35"/>
  <c r="C41" i="35"/>
  <c r="C42" i="35"/>
  <c r="C38" i="35"/>
  <c r="C30" i="35"/>
  <c r="C31" i="35"/>
  <c r="C32" i="35"/>
  <c r="C29" i="35"/>
  <c r="Y114" i="33"/>
  <c r="X114" i="33"/>
  <c r="Y113" i="33"/>
  <c r="X113" i="33"/>
  <c r="C72" i="33" s="1"/>
  <c r="Y112" i="33"/>
  <c r="X112" i="33"/>
  <c r="Y111" i="33"/>
  <c r="X111" i="33"/>
  <c r="Y110" i="33"/>
  <c r="X110" i="33"/>
  <c r="C69" i="33" s="1"/>
  <c r="Y109" i="33"/>
  <c r="X109" i="33"/>
  <c r="Y108" i="33"/>
  <c r="X108" i="33"/>
  <c r="Y107" i="33"/>
  <c r="X107" i="33"/>
  <c r="C66" i="33" s="1"/>
  <c r="Y106" i="33"/>
  <c r="X106" i="33"/>
  <c r="Y105" i="33"/>
  <c r="X105" i="33"/>
  <c r="Y104" i="33"/>
  <c r="X104" i="33"/>
  <c r="Y103" i="33"/>
  <c r="X103" i="33"/>
  <c r="Y102" i="33"/>
  <c r="X102" i="33"/>
  <c r="Y101" i="33"/>
  <c r="X101" i="33"/>
  <c r="Y100" i="33"/>
  <c r="X100" i="33"/>
  <c r="Y99" i="33"/>
  <c r="X99" i="33"/>
  <c r="Y98" i="33"/>
  <c r="X98" i="33"/>
  <c r="Y97" i="33"/>
  <c r="X97" i="33"/>
  <c r="Y96" i="33"/>
  <c r="X96" i="33"/>
  <c r="Y95" i="33"/>
  <c r="X95" i="33"/>
  <c r="Y94" i="33"/>
  <c r="X94" i="33"/>
  <c r="Y93" i="33"/>
  <c r="X93" i="33"/>
  <c r="Y92" i="33"/>
  <c r="X92" i="33"/>
  <c r="Y91" i="33"/>
  <c r="X91" i="33"/>
  <c r="Y90" i="33"/>
  <c r="X90" i="33"/>
  <c r="Y89" i="33"/>
  <c r="X89" i="33"/>
  <c r="Y88" i="33"/>
  <c r="X88" i="33"/>
  <c r="Y87" i="33"/>
  <c r="X87" i="33"/>
  <c r="Y86" i="33"/>
  <c r="X86" i="33"/>
  <c r="Y85" i="33"/>
  <c r="X85" i="33"/>
  <c r="Y84" i="33"/>
  <c r="X84" i="33"/>
  <c r="Y83" i="33"/>
  <c r="X83" i="33"/>
  <c r="C73" i="33"/>
  <c r="C71" i="33"/>
  <c r="C70" i="33"/>
  <c r="C68" i="33"/>
  <c r="C67" i="33"/>
  <c r="C65" i="33"/>
  <c r="D23" i="33"/>
  <c r="G14" i="33"/>
  <c r="G13" i="33"/>
  <c r="G12" i="33"/>
  <c r="C12" i="33"/>
  <c r="H11" i="33"/>
  <c r="H12" i="33" s="1"/>
  <c r="H13" i="33" s="1"/>
  <c r="H14" i="33" s="1"/>
  <c r="C11" i="33"/>
  <c r="C23" i="33" s="1"/>
  <c r="E23" i="33" s="1"/>
  <c r="F9" i="33"/>
  <c r="F8" i="33"/>
  <c r="B6" i="33"/>
  <c r="F29" i="30" l="1"/>
  <c r="G106" i="13" l="1"/>
  <c r="G49" i="13"/>
  <c r="D15" i="13" l="1"/>
  <c r="D14" i="13"/>
  <c r="D13" i="13"/>
  <c r="F29" i="15"/>
  <c r="N20" i="29" l="1"/>
  <c r="N21" i="29"/>
  <c r="N14" i="29"/>
  <c r="N15" i="29" s="1"/>
  <c r="N16" i="29" s="1"/>
  <c r="N17" i="29" s="1"/>
  <c r="N18" i="29" s="1"/>
  <c r="N19" i="29" s="1"/>
  <c r="E2" i="29"/>
  <c r="I31" i="29" s="1"/>
  <c r="I32" i="29" s="1"/>
  <c r="I33" i="29" s="1"/>
  <c r="I34" i="29" s="1"/>
  <c r="C12" i="35"/>
  <c r="C11" i="35"/>
  <c r="C6" i="35"/>
  <c r="C5" i="35"/>
  <c r="F6" i="35" l="1"/>
  <c r="E3" i="29"/>
  <c r="E12" i="35"/>
  <c r="E13" i="35" s="1"/>
  <c r="E6" i="35"/>
  <c r="E7" i="35" s="1"/>
  <c r="F25" i="15" l="1"/>
  <c r="E25" i="15"/>
  <c r="E16" i="15" l="1"/>
  <c r="I35" i="29"/>
  <c r="I36" i="29" s="1"/>
  <c r="I37" i="29" s="1"/>
  <c r="I38" i="29" s="1"/>
  <c r="I39" i="29" s="1"/>
  <c r="I40" i="29" s="1"/>
  <c r="Q24" i="29" l="1"/>
  <c r="F11" i="29" l="1"/>
  <c r="F10" i="29"/>
  <c r="F9" i="29"/>
  <c r="F8" i="29"/>
  <c r="E11" i="29"/>
  <c r="E10" i="29"/>
  <c r="E9" i="29"/>
  <c r="E8" i="29"/>
  <c r="D11" i="29"/>
  <c r="D10" i="29"/>
  <c r="D9" i="29"/>
  <c r="D8" i="29"/>
  <c r="C11" i="29"/>
  <c r="C10" i="29"/>
  <c r="C9" i="29"/>
  <c r="C8" i="29"/>
  <c r="N25" i="15"/>
  <c r="M25" i="15"/>
  <c r="L38" i="30" l="1"/>
  <c r="K38" i="30"/>
  <c r="G38" i="30"/>
  <c r="F38" i="30"/>
  <c r="P25" i="29" l="1"/>
  <c r="M16" i="15" l="1"/>
  <c r="BA107" i="13" l="1"/>
  <c r="AZ107" i="13"/>
  <c r="AY107" i="13"/>
  <c r="AX107" i="13"/>
  <c r="AW107" i="13"/>
  <c r="AV107" i="13"/>
  <c r="AU107" i="13"/>
  <c r="AT107" i="13"/>
  <c r="AS107" i="13"/>
  <c r="AR107" i="13"/>
  <c r="AO107" i="13"/>
  <c r="AN107" i="13"/>
  <c r="AM107" i="13"/>
  <c r="AL107" i="13"/>
  <c r="AK107" i="13"/>
  <c r="AJ107" i="13"/>
  <c r="AI107" i="13"/>
  <c r="AH107" i="13"/>
  <c r="AG107" i="13"/>
  <c r="AF107" i="13"/>
  <c r="AZ50" i="13"/>
  <c r="AO50" i="13"/>
  <c r="AN50" i="13"/>
  <c r="AM50" i="13"/>
  <c r="AL50" i="13"/>
  <c r="AK50" i="13"/>
  <c r="AJ50" i="13"/>
  <c r="AI50" i="13"/>
  <c r="AH50" i="13"/>
  <c r="AG50" i="13"/>
  <c r="AF50" i="13"/>
  <c r="BA50" i="13"/>
  <c r="AY50" i="13"/>
  <c r="AX50" i="13"/>
  <c r="K12" i="30" l="1"/>
  <c r="F12" i="30"/>
  <c r="B9" i="32" l="1"/>
  <c r="D13" i="31" l="1"/>
  <c r="K13" i="31"/>
  <c r="F25" i="30"/>
  <c r="D9" i="13" l="1"/>
  <c r="G57" i="30"/>
  <c r="F57" i="30"/>
  <c r="N59" i="30" l="1"/>
  <c r="I59" i="30"/>
  <c r="J18" i="29" l="1"/>
  <c r="J19" i="29" s="1"/>
  <c r="J20" i="29" s="1"/>
  <c r="J21" i="29" s="1"/>
  <c r="J22" i="29" s="1"/>
  <c r="J23" i="29" s="1"/>
  <c r="J24" i="29" s="1"/>
  <c r="C17" i="31"/>
  <c r="AP27" i="13"/>
  <c r="J25" i="29" l="1"/>
  <c r="J26" i="29" s="1"/>
  <c r="J27" i="29" s="1"/>
  <c r="J28" i="29" s="1"/>
  <c r="G19" i="15"/>
  <c r="G20" i="15"/>
  <c r="Q25" i="29" s="1"/>
  <c r="R25" i="29" s="1"/>
  <c r="G40" i="30"/>
  <c r="K25" i="30"/>
  <c r="F24" i="30"/>
  <c r="K24" i="30" s="1"/>
  <c r="T82" i="13"/>
  <c r="T84" i="13"/>
  <c r="T81" i="13"/>
  <c r="AR81" i="13" s="1"/>
  <c r="BB81" i="13"/>
  <c r="H84" i="13"/>
  <c r="H81" i="13"/>
  <c r="AF81" i="13" s="1"/>
  <c r="F91" i="13" s="1"/>
  <c r="R79" i="13"/>
  <c r="AD79" i="13" s="1"/>
  <c r="AP79" i="13" s="1"/>
  <c r="H82" i="13"/>
  <c r="T26" i="13"/>
  <c r="T24" i="13"/>
  <c r="T23" i="13"/>
  <c r="P24" i="29" l="1"/>
  <c r="T25" i="13"/>
  <c r="T83" i="13"/>
  <c r="H83" i="13"/>
  <c r="H86" i="13" s="1"/>
  <c r="F92" i="13"/>
  <c r="G25" i="30"/>
  <c r="L25" i="30" s="1"/>
  <c r="G24" i="30"/>
  <c r="L24" i="30" s="1"/>
  <c r="BB79" i="13"/>
  <c r="G92" i="13" l="1"/>
  <c r="R24" i="29"/>
  <c r="H27" i="13" s="1"/>
  <c r="T27" i="13" s="1"/>
  <c r="AF27" i="13" s="1"/>
  <c r="T86" i="13"/>
  <c r="AF86" i="13"/>
  <c r="T92" i="13" l="1"/>
  <c r="AR92" i="13" s="1"/>
  <c r="H92" i="13"/>
  <c r="AR27" i="13"/>
  <c r="AR86" i="13"/>
  <c r="BB23" i="13" l="1"/>
  <c r="AD21" i="13"/>
  <c r="AP21" i="13" s="1"/>
  <c r="H26" i="13"/>
  <c r="H24" i="13"/>
  <c r="H23" i="13"/>
  <c r="H21" i="13"/>
  <c r="D15" i="32" l="1"/>
  <c r="D46" i="32" s="1"/>
  <c r="AF92" i="13"/>
  <c r="H25" i="13"/>
  <c r="H29" i="13" s="1"/>
  <c r="F90" i="13"/>
  <c r="F89" i="13"/>
  <c r="G89" i="13" s="1"/>
  <c r="F35" i="13"/>
  <c r="G35" i="13" s="1"/>
  <c r="F32" i="13"/>
  <c r="G32" i="13" s="1"/>
  <c r="H32" i="13" s="1"/>
  <c r="F33" i="13"/>
  <c r="G34" i="13" s="1"/>
  <c r="BB21" i="13"/>
  <c r="I21" i="13"/>
  <c r="H79" i="13"/>
  <c r="T79" i="13" s="1"/>
  <c r="AF79" i="13" s="1"/>
  <c r="AR79" i="13" s="1"/>
  <c r="T21" i="13"/>
  <c r="O15" i="32" l="1"/>
  <c r="O46" i="32" s="1"/>
  <c r="T35" i="13"/>
  <c r="H35" i="13"/>
  <c r="T89" i="13"/>
  <c r="H89" i="13"/>
  <c r="G91" i="13"/>
  <c r="G90" i="13"/>
  <c r="AF21" i="13"/>
  <c r="AR21" i="13" s="1"/>
  <c r="G33" i="13"/>
  <c r="H33" i="13" s="1"/>
  <c r="J21" i="13"/>
  <c r="E15" i="32"/>
  <c r="Z15" i="32"/>
  <c r="Z46" i="32"/>
  <c r="AK46" i="32" s="1"/>
  <c r="I79" i="13"/>
  <c r="U21" i="13"/>
  <c r="I26" i="13"/>
  <c r="I35" i="13" s="1"/>
  <c r="I23" i="13"/>
  <c r="I32" i="13" s="1"/>
  <c r="I54" i="30"/>
  <c r="N54" i="30"/>
  <c r="W91" i="13" l="1"/>
  <c r="T91" i="13"/>
  <c r="L91" i="13"/>
  <c r="I91" i="13"/>
  <c r="Y91" i="13"/>
  <c r="K91" i="13"/>
  <c r="H91" i="13"/>
  <c r="X91" i="13"/>
  <c r="U91" i="13"/>
  <c r="M91" i="13"/>
  <c r="J91" i="13"/>
  <c r="AH91" i="13" s="1"/>
  <c r="V91" i="13"/>
  <c r="T34" i="13"/>
  <c r="I34" i="13"/>
  <c r="AG34" i="13" s="1"/>
  <c r="AF35" i="13"/>
  <c r="H34" i="13"/>
  <c r="T32" i="13"/>
  <c r="AR32" i="13" s="1"/>
  <c r="I33" i="13"/>
  <c r="AG33" i="13" s="1"/>
  <c r="U23" i="13"/>
  <c r="AS23" i="13" s="1"/>
  <c r="H31" i="13"/>
  <c r="T31" i="13" s="1"/>
  <c r="H30" i="13"/>
  <c r="H49" i="13" s="1"/>
  <c r="K21" i="13"/>
  <c r="AR35" i="13"/>
  <c r="T90" i="13"/>
  <c r="H90" i="13"/>
  <c r="T88" i="13"/>
  <c r="AR89" i="13"/>
  <c r="T87" i="13"/>
  <c r="I24" i="13"/>
  <c r="I25" i="13" s="1"/>
  <c r="I29" i="13" s="1"/>
  <c r="AR34" i="13"/>
  <c r="AF89" i="13"/>
  <c r="H88" i="13"/>
  <c r="H87" i="13"/>
  <c r="H106" i="13" s="1"/>
  <c r="J26" i="13"/>
  <c r="J35" i="13" s="1"/>
  <c r="J79" i="13"/>
  <c r="J81" i="13" s="1"/>
  <c r="J89" i="13" s="1"/>
  <c r="U26" i="13"/>
  <c r="U35" i="13" s="1"/>
  <c r="I27" i="13"/>
  <c r="J23" i="13"/>
  <c r="J33" i="13" s="1"/>
  <c r="V21" i="13"/>
  <c r="AK15" i="32"/>
  <c r="E46" i="32"/>
  <c r="P15" i="32"/>
  <c r="I84" i="13"/>
  <c r="I92" i="13" s="1"/>
  <c r="AG92" i="13" s="1"/>
  <c r="F15" i="32"/>
  <c r="AG21" i="13"/>
  <c r="I81" i="13"/>
  <c r="I89" i="13" s="1"/>
  <c r="AG89" i="13" s="1"/>
  <c r="U79" i="13"/>
  <c r="B15" i="31"/>
  <c r="K40" i="30"/>
  <c r="F40" i="30"/>
  <c r="L37" i="30"/>
  <c r="K37" i="30"/>
  <c r="G37" i="30"/>
  <c r="G39" i="30" s="1"/>
  <c r="F37" i="30"/>
  <c r="F39" i="30" s="1"/>
  <c r="K28" i="30"/>
  <c r="L40" i="30" s="1"/>
  <c r="F28" i="30"/>
  <c r="K19" i="30"/>
  <c r="F19" i="30"/>
  <c r="K18" i="30"/>
  <c r="F18" i="30"/>
  <c r="B14" i="30"/>
  <c r="AS35" i="13" l="1"/>
  <c r="U34" i="13"/>
  <c r="AS34" i="13" s="1"/>
  <c r="AH35" i="13"/>
  <c r="J34" i="13"/>
  <c r="AH34" i="13" s="1"/>
  <c r="U32" i="13"/>
  <c r="AS32" i="13" s="1"/>
  <c r="J32" i="13"/>
  <c r="J90" i="13"/>
  <c r="L21" i="13"/>
  <c r="AF49" i="13"/>
  <c r="T33" i="13"/>
  <c r="AR33" i="13" s="1"/>
  <c r="U33" i="13"/>
  <c r="AS33" i="13" s="1"/>
  <c r="U24" i="13"/>
  <c r="U25" i="13" s="1"/>
  <c r="I90" i="13"/>
  <c r="AH89" i="13"/>
  <c r="AH21" i="13"/>
  <c r="AT21" i="13" s="1"/>
  <c r="AI91" i="13"/>
  <c r="AJ91" i="13"/>
  <c r="I31" i="13"/>
  <c r="U31" i="13" s="1"/>
  <c r="I30" i="13"/>
  <c r="I49" i="13" s="1"/>
  <c r="AH32" i="13"/>
  <c r="AG35" i="13"/>
  <c r="AG29" i="13"/>
  <c r="AS91" i="13"/>
  <c r="AG91" i="13"/>
  <c r="K26" i="13"/>
  <c r="K35" i="13" s="1"/>
  <c r="G15" i="32"/>
  <c r="R15" i="32" s="1"/>
  <c r="W21" i="13"/>
  <c r="J27" i="13"/>
  <c r="V27" i="13" s="1"/>
  <c r="AH27" i="13" s="1"/>
  <c r="AT27" i="13" s="1"/>
  <c r="K79" i="13"/>
  <c r="K84" i="13" s="1"/>
  <c r="K92" i="13" s="1"/>
  <c r="AI92" i="13" s="1"/>
  <c r="K23" i="13"/>
  <c r="K33" i="13" s="1"/>
  <c r="AI33" i="13" s="1"/>
  <c r="AG90" i="13"/>
  <c r="AH90" i="13"/>
  <c r="K39" i="30"/>
  <c r="AH33" i="13"/>
  <c r="L39" i="30"/>
  <c r="AF33" i="13"/>
  <c r="AT91" i="13"/>
  <c r="I82" i="13"/>
  <c r="I83" i="13" s="1"/>
  <c r="AF91" i="13"/>
  <c r="T93" i="13"/>
  <c r="T106" i="13"/>
  <c r="T108" i="13"/>
  <c r="AR108" i="13" s="1"/>
  <c r="AR87" i="13"/>
  <c r="AR88" i="13"/>
  <c r="H108" i="13"/>
  <c r="AF87" i="13"/>
  <c r="H93" i="13"/>
  <c r="AR91" i="13"/>
  <c r="AF90" i="13"/>
  <c r="U27" i="13"/>
  <c r="AF88" i="13"/>
  <c r="AR90" i="13"/>
  <c r="J84" i="13"/>
  <c r="J92" i="13" s="1"/>
  <c r="AH92" i="13" s="1"/>
  <c r="V79" i="13"/>
  <c r="J24" i="13"/>
  <c r="V23" i="13"/>
  <c r="AT23" i="13" s="1"/>
  <c r="V26" i="13"/>
  <c r="V35" i="13" s="1"/>
  <c r="V34" i="13" s="1"/>
  <c r="Q15" i="32"/>
  <c r="F46" i="32"/>
  <c r="K27" i="13"/>
  <c r="W27" i="13" s="1"/>
  <c r="AI27" i="13" s="1"/>
  <c r="AU27" i="13" s="1"/>
  <c r="H15" i="32"/>
  <c r="AA15" i="32"/>
  <c r="P46" i="32"/>
  <c r="AA46" i="32"/>
  <c r="AS21" i="13"/>
  <c r="AG79" i="13"/>
  <c r="U84" i="13"/>
  <c r="U92" i="13" s="1"/>
  <c r="AS92" i="13" s="1"/>
  <c r="U81" i="13"/>
  <c r="U90" i="13" s="1"/>
  <c r="AS90" i="13" s="1"/>
  <c r="L79" i="13"/>
  <c r="X21" i="13"/>
  <c r="M21" i="13"/>
  <c r="L26" i="13"/>
  <c r="L35" i="13" s="1"/>
  <c r="L23" i="13"/>
  <c r="L33" i="13" s="1"/>
  <c r="AI35" i="13" l="1"/>
  <c r="K34" i="13"/>
  <c r="AJ35" i="13"/>
  <c r="L34" i="13"/>
  <c r="AJ34" i="13" s="1"/>
  <c r="V32" i="13"/>
  <c r="K32" i="13"/>
  <c r="L32" i="13"/>
  <c r="AJ32" i="13" s="1"/>
  <c r="V33" i="13"/>
  <c r="AT33" i="13" s="1"/>
  <c r="AG49" i="13"/>
  <c r="T30" i="13"/>
  <c r="U30" i="13"/>
  <c r="AT34" i="13"/>
  <c r="AT35" i="13"/>
  <c r="AT32" i="13"/>
  <c r="AK91" i="13"/>
  <c r="AI21" i="13"/>
  <c r="AU21" i="13" s="1"/>
  <c r="AI32" i="13"/>
  <c r="AG32" i="13"/>
  <c r="AG31" i="13"/>
  <c r="W23" i="13"/>
  <c r="AU23" i="13" s="1"/>
  <c r="W79" i="13"/>
  <c r="W84" i="13" s="1"/>
  <c r="W92" i="13" s="1"/>
  <c r="AU92" i="13" s="1"/>
  <c r="G46" i="32"/>
  <c r="K81" i="13"/>
  <c r="K89" i="13" s="1"/>
  <c r="K24" i="13"/>
  <c r="K25" i="13" s="1"/>
  <c r="W26" i="13"/>
  <c r="W35" i="13" s="1"/>
  <c r="W34" i="13" s="1"/>
  <c r="AU91" i="13"/>
  <c r="AJ33" i="13"/>
  <c r="AV91" i="13"/>
  <c r="AS81" i="13"/>
  <c r="U89" i="13"/>
  <c r="V84" i="13"/>
  <c r="V92" i="13" s="1"/>
  <c r="AT92" i="13" s="1"/>
  <c r="AG27" i="13"/>
  <c r="J25" i="13"/>
  <c r="AF106" i="13"/>
  <c r="H109" i="13"/>
  <c r="H94" i="13"/>
  <c r="AF108" i="13"/>
  <c r="T109" i="13"/>
  <c r="AR106" i="13"/>
  <c r="AR109" i="13" s="1"/>
  <c r="U82" i="13"/>
  <c r="U83" i="13" s="1"/>
  <c r="AF93" i="13"/>
  <c r="AR93" i="13"/>
  <c r="T94" i="13"/>
  <c r="I86" i="13"/>
  <c r="J82" i="13"/>
  <c r="V24" i="13"/>
  <c r="W24" i="13" s="1"/>
  <c r="W25" i="13" s="1"/>
  <c r="W29" i="13" s="1"/>
  <c r="I51" i="13"/>
  <c r="V81" i="13"/>
  <c r="V90" i="13" s="1"/>
  <c r="AT90" i="13" s="1"/>
  <c r="AH79" i="13"/>
  <c r="AT79" i="13" s="1"/>
  <c r="AL46" i="32"/>
  <c r="H46" i="32"/>
  <c r="S15" i="32"/>
  <c r="R46" i="32"/>
  <c r="AC15" i="32"/>
  <c r="AC46" i="32"/>
  <c r="AB15" i="32"/>
  <c r="Q46" i="32"/>
  <c r="AB46" i="32"/>
  <c r="AL15" i="32"/>
  <c r="I15" i="32"/>
  <c r="L84" i="13"/>
  <c r="L92" i="13" s="1"/>
  <c r="AJ92" i="13" s="1"/>
  <c r="L81" i="13"/>
  <c r="X79" i="13"/>
  <c r="M79" i="13"/>
  <c r="L27" i="13"/>
  <c r="X27" i="13" s="1"/>
  <c r="AS79" i="13"/>
  <c r="AJ21" i="13"/>
  <c r="X26" i="13"/>
  <c r="X35" i="13" s="1"/>
  <c r="X34" i="13" s="1"/>
  <c r="X23" i="13"/>
  <c r="AV23" i="13" s="1"/>
  <c r="Y21" i="13"/>
  <c r="N21" i="13"/>
  <c r="N44" i="13" s="1"/>
  <c r="M23" i="13"/>
  <c r="M33" i="13" s="1"/>
  <c r="M26" i="13"/>
  <c r="M35" i="13" s="1"/>
  <c r="AK35" i="13" l="1"/>
  <c r="M34" i="13"/>
  <c r="AK34" i="13" s="1"/>
  <c r="AI34" i="13"/>
  <c r="X32" i="13"/>
  <c r="W32" i="13"/>
  <c r="L90" i="13"/>
  <c r="L89" i="13"/>
  <c r="M32" i="13"/>
  <c r="AK32" i="13" s="1"/>
  <c r="J29" i="13"/>
  <c r="K29" i="13"/>
  <c r="W33" i="13"/>
  <c r="AU33" i="13" s="1"/>
  <c r="AI89" i="13"/>
  <c r="K90" i="13"/>
  <c r="AI90" i="13" s="1"/>
  <c r="X33" i="13"/>
  <c r="AI79" i="13"/>
  <c r="AU79" i="13" s="1"/>
  <c r="N95" i="13"/>
  <c r="N90" i="13"/>
  <c r="N87" i="13"/>
  <c r="AL34" i="13"/>
  <c r="N38" i="13"/>
  <c r="AL91" i="13"/>
  <c r="N88" i="13"/>
  <c r="N89" i="13"/>
  <c r="N31" i="13"/>
  <c r="N33" i="13"/>
  <c r="N92" i="13"/>
  <c r="AL92" i="13" s="1"/>
  <c r="N32" i="13"/>
  <c r="N29" i="13"/>
  <c r="N35" i="13"/>
  <c r="AL35" i="13" s="1"/>
  <c r="N30" i="13"/>
  <c r="AU35" i="13"/>
  <c r="AU32" i="13"/>
  <c r="AU29" i="13"/>
  <c r="AU34" i="13"/>
  <c r="J83" i="13"/>
  <c r="J86" i="13" s="1"/>
  <c r="AG30" i="13"/>
  <c r="AG36" i="13" s="1"/>
  <c r="AG37" i="13" s="1"/>
  <c r="W81" i="13"/>
  <c r="AU81" i="13" s="1"/>
  <c r="L24" i="13"/>
  <c r="L25" i="13" s="1"/>
  <c r="W90" i="13"/>
  <c r="AU90" i="13" s="1"/>
  <c r="AJ89" i="13"/>
  <c r="AJ90" i="13"/>
  <c r="AK33" i="13"/>
  <c r="AG86" i="13"/>
  <c r="I87" i="13"/>
  <c r="I108" i="13" s="1"/>
  <c r="I88" i="13"/>
  <c r="AF94" i="13"/>
  <c r="U86" i="13"/>
  <c r="AT81" i="13"/>
  <c r="V89" i="13"/>
  <c r="AT89" i="13" s="1"/>
  <c r="AR94" i="13"/>
  <c r="V25" i="13"/>
  <c r="V29" i="13" s="1"/>
  <c r="AS27" i="13"/>
  <c r="AW91" i="13"/>
  <c r="K82" i="13"/>
  <c r="O48" i="32"/>
  <c r="O56" i="32"/>
  <c r="D56" i="32"/>
  <c r="D48" i="32"/>
  <c r="K20" i="31" s="1"/>
  <c r="AF109" i="13"/>
  <c r="V82" i="13"/>
  <c r="V83" i="13" s="1"/>
  <c r="AS89" i="13"/>
  <c r="P56" i="32"/>
  <c r="X24" i="13"/>
  <c r="X25" i="13" s="1"/>
  <c r="X29" i="13" s="1"/>
  <c r="M27" i="13"/>
  <c r="Y27" i="13" s="1"/>
  <c r="AK27" i="13" s="1"/>
  <c r="AW27" i="13" s="1"/>
  <c r="J15" i="32"/>
  <c r="M84" i="13"/>
  <c r="M92" i="13" s="1"/>
  <c r="AK92" i="13" s="1"/>
  <c r="T15" i="32"/>
  <c r="I46" i="32"/>
  <c r="AM15" i="32"/>
  <c r="AN15" i="32"/>
  <c r="S46" i="32"/>
  <c r="AD46" i="32"/>
  <c r="AD15" i="32"/>
  <c r="AM46" i="32"/>
  <c r="AN46" i="32"/>
  <c r="AJ27" i="13"/>
  <c r="AJ79" i="13"/>
  <c r="X84" i="13"/>
  <c r="X92" i="13" s="1"/>
  <c r="AV92" i="13" s="1"/>
  <c r="X81" i="13"/>
  <c r="Y79" i="13"/>
  <c r="M81" i="13"/>
  <c r="N79" i="13"/>
  <c r="AK21" i="13"/>
  <c r="Y26" i="13"/>
  <c r="Y35" i="13" s="1"/>
  <c r="Y34" i="13" s="1"/>
  <c r="Y23" i="13"/>
  <c r="AW23" i="13" s="1"/>
  <c r="AV21" i="13"/>
  <c r="Z21" i="13"/>
  <c r="Z44" i="13" s="1"/>
  <c r="O21" i="13"/>
  <c r="O44" i="13" s="1"/>
  <c r="N23" i="13"/>
  <c r="N26" i="13"/>
  <c r="D69" i="13"/>
  <c r="D70" i="13"/>
  <c r="D73" i="13"/>
  <c r="R34" i="13" l="1"/>
  <c r="M90" i="13"/>
  <c r="AK90" i="13" s="1"/>
  <c r="M89" i="13"/>
  <c r="W89" i="13"/>
  <c r="AU89" i="13" s="1"/>
  <c r="Y32" i="13"/>
  <c r="J87" i="13"/>
  <c r="J88" i="13"/>
  <c r="L29" i="13"/>
  <c r="AJ29" i="13" s="1"/>
  <c r="AT29" i="13"/>
  <c r="Y33" i="13"/>
  <c r="K31" i="13"/>
  <c r="K30" i="13"/>
  <c r="K49" i="13" s="1"/>
  <c r="AI49" i="13" s="1"/>
  <c r="J30" i="13"/>
  <c r="J49" i="13" s="1"/>
  <c r="AH49" i="13" s="1"/>
  <c r="J31" i="13"/>
  <c r="AI29" i="13"/>
  <c r="AH29" i="13"/>
  <c r="N49" i="13"/>
  <c r="AL49" i="13" s="1"/>
  <c r="Z35" i="13"/>
  <c r="Z32" i="13"/>
  <c r="Z29" i="13"/>
  <c r="Z38" i="13"/>
  <c r="Z33" i="13"/>
  <c r="Z31" i="13"/>
  <c r="AM91" i="13"/>
  <c r="O88" i="13"/>
  <c r="O92" i="13"/>
  <c r="AM92" i="13" s="1"/>
  <c r="O89" i="13"/>
  <c r="O35" i="13"/>
  <c r="AM35" i="13" s="1"/>
  <c r="O90" i="13"/>
  <c r="O32" i="13"/>
  <c r="O29" i="13"/>
  <c r="O38" i="13"/>
  <c r="O31" i="13"/>
  <c r="O95" i="13"/>
  <c r="O33" i="13"/>
  <c r="O30" i="13"/>
  <c r="Z30" i="13" s="1"/>
  <c r="O87" i="13"/>
  <c r="AM34" i="13"/>
  <c r="K83" i="13"/>
  <c r="K86" i="13" s="1"/>
  <c r="N36" i="13"/>
  <c r="N37" i="13" s="1"/>
  <c r="N93" i="13"/>
  <c r="Z92" i="13"/>
  <c r="AX92" i="13" s="1"/>
  <c r="AV33" i="13"/>
  <c r="AV34" i="13"/>
  <c r="AV32" i="13"/>
  <c r="AV35" i="13"/>
  <c r="AV29" i="13"/>
  <c r="AG38" i="13"/>
  <c r="J43" i="13" s="1"/>
  <c r="AL32" i="13"/>
  <c r="M24" i="13"/>
  <c r="M25" i="13" s="1"/>
  <c r="M29" i="13" s="1"/>
  <c r="J23" i="32"/>
  <c r="U23" i="32" s="1"/>
  <c r="J22" i="32"/>
  <c r="U22" i="32" s="1"/>
  <c r="N27" i="13"/>
  <c r="AK89" i="13"/>
  <c r="N24" i="13"/>
  <c r="N25" i="13" s="1"/>
  <c r="X89" i="13"/>
  <c r="AV89" i="13" s="1"/>
  <c r="X90" i="13"/>
  <c r="AV90" i="13" s="1"/>
  <c r="AL33" i="13"/>
  <c r="J21" i="32"/>
  <c r="I106" i="13"/>
  <c r="I109" i="13" s="1"/>
  <c r="AS86" i="13"/>
  <c r="U87" i="13"/>
  <c r="U106" i="13" s="1"/>
  <c r="U88" i="13"/>
  <c r="AX91" i="13"/>
  <c r="L82" i="13"/>
  <c r="AR95" i="13"/>
  <c r="AK48" i="32"/>
  <c r="AK56" i="32"/>
  <c r="AG108" i="13"/>
  <c r="W82" i="13"/>
  <c r="W83" i="13" s="1"/>
  <c r="Z48" i="32"/>
  <c r="M20" i="31" s="1"/>
  <c r="Z56" i="32"/>
  <c r="AF95" i="13"/>
  <c r="H100" i="13" s="1"/>
  <c r="AG88" i="13"/>
  <c r="AH86" i="13"/>
  <c r="J108" i="13"/>
  <c r="AH108" i="13" s="1"/>
  <c r="AH88" i="13"/>
  <c r="V86" i="13"/>
  <c r="AG87" i="13"/>
  <c r="I93" i="13"/>
  <c r="AH30" i="13"/>
  <c r="J51" i="13"/>
  <c r="AH51" i="13" s="1"/>
  <c r="K51" i="13"/>
  <c r="AI51" i="13" s="1"/>
  <c r="Y24" i="13"/>
  <c r="Y25" i="13" s="1"/>
  <c r="Y29" i="13" s="1"/>
  <c r="AV27" i="13"/>
  <c r="K15" i="32"/>
  <c r="AE15" i="32"/>
  <c r="AE46" i="32"/>
  <c r="T46" i="32"/>
  <c r="AO46" i="32"/>
  <c r="AO15" i="32"/>
  <c r="N84" i="13"/>
  <c r="J46" i="32"/>
  <c r="U15" i="32"/>
  <c r="N81" i="13"/>
  <c r="Z79" i="13"/>
  <c r="AK79" i="13"/>
  <c r="Y84" i="13"/>
  <c r="Y92" i="13" s="1"/>
  <c r="AW92" i="13" s="1"/>
  <c r="Y81" i="13"/>
  <c r="Y90" i="13" s="1"/>
  <c r="AW90" i="13" s="1"/>
  <c r="AV81" i="13"/>
  <c r="AV79" i="13"/>
  <c r="O79" i="13"/>
  <c r="AW21" i="13"/>
  <c r="AL21" i="13"/>
  <c r="Z26" i="13"/>
  <c r="Z23" i="13"/>
  <c r="AX23" i="13" s="1"/>
  <c r="AA21" i="13"/>
  <c r="AA44" i="13" s="1"/>
  <c r="P21" i="13"/>
  <c r="P44" i="13" s="1"/>
  <c r="O26" i="13"/>
  <c r="O23" i="13"/>
  <c r="B9" i="29"/>
  <c r="J93" i="13" l="1"/>
  <c r="J94" i="13" s="1"/>
  <c r="K87" i="13"/>
  <c r="K106" i="13" s="1"/>
  <c r="K88" i="13"/>
  <c r="L31" i="13"/>
  <c r="L30" i="13"/>
  <c r="L49" i="13" s="1"/>
  <c r="AJ49" i="13" s="1"/>
  <c r="V31" i="13"/>
  <c r="AT31" i="13" s="1"/>
  <c r="AH31" i="13"/>
  <c r="AH36" i="13" s="1"/>
  <c r="AH37" i="13" s="1"/>
  <c r="AH38" i="13" s="1"/>
  <c r="V30" i="13"/>
  <c r="W30" i="13"/>
  <c r="K36" i="13"/>
  <c r="K37" i="13" s="1"/>
  <c r="AI30" i="13"/>
  <c r="M30" i="13"/>
  <c r="M49" i="13" s="1"/>
  <c r="AK49" i="13" s="1"/>
  <c r="M31" i="13"/>
  <c r="Y31" i="13" s="1"/>
  <c r="AW31" i="13" s="1"/>
  <c r="J36" i="13"/>
  <c r="J37" i="13" s="1"/>
  <c r="W31" i="13"/>
  <c r="AU31" i="13" s="1"/>
  <c r="AI31" i="13"/>
  <c r="O49" i="13"/>
  <c r="AM49" i="13" s="1"/>
  <c r="Z49" i="13"/>
  <c r="AX49" i="13" s="1"/>
  <c r="Z36" i="13"/>
  <c r="Z37" i="13" s="1"/>
  <c r="AA38" i="13"/>
  <c r="AA33" i="13"/>
  <c r="AA31" i="13"/>
  <c r="AA35" i="13"/>
  <c r="AA32" i="13"/>
  <c r="AA29" i="13"/>
  <c r="O93" i="13"/>
  <c r="L83" i="13"/>
  <c r="L86" i="13" s="1"/>
  <c r="P92" i="13"/>
  <c r="AN92" i="13" s="1"/>
  <c r="P89" i="13"/>
  <c r="AN89" i="13" s="1"/>
  <c r="P35" i="13"/>
  <c r="AN35" i="13" s="1"/>
  <c r="P95" i="13"/>
  <c r="P90" i="13"/>
  <c r="P87" i="13"/>
  <c r="AN34" i="13"/>
  <c r="P38" i="13"/>
  <c r="AN91" i="13"/>
  <c r="P33" i="13"/>
  <c r="P30" i="13"/>
  <c r="AA30" i="13" s="1"/>
  <c r="P32" i="13"/>
  <c r="P31" i="13"/>
  <c r="P88" i="13"/>
  <c r="P29" i="13"/>
  <c r="AA92" i="13"/>
  <c r="AW34" i="13"/>
  <c r="AW35" i="13"/>
  <c r="AW32" i="13"/>
  <c r="AW29" i="13"/>
  <c r="AW33" i="13"/>
  <c r="O36" i="13"/>
  <c r="O37" i="13" s="1"/>
  <c r="Z27" i="13"/>
  <c r="AL27" i="13" s="1"/>
  <c r="AM32" i="13"/>
  <c r="U21" i="32"/>
  <c r="U26" i="32" s="1"/>
  <c r="J26" i="32"/>
  <c r="AK29" i="13"/>
  <c r="AL90" i="13"/>
  <c r="AL89" i="13"/>
  <c r="AG106" i="13"/>
  <c r="AG109" i="13" s="1"/>
  <c r="AF22" i="32"/>
  <c r="AF23" i="32"/>
  <c r="O27" i="13"/>
  <c r="K23" i="32"/>
  <c r="V23" i="32" s="1"/>
  <c r="K22" i="32"/>
  <c r="V22" i="32" s="1"/>
  <c r="AL29" i="13"/>
  <c r="O24" i="13"/>
  <c r="O25" i="13" s="1"/>
  <c r="Z24" i="13"/>
  <c r="Z25" i="13" s="1"/>
  <c r="AM33" i="13"/>
  <c r="K21" i="32"/>
  <c r="AK31" i="13"/>
  <c r="J106" i="13"/>
  <c r="AH106" i="13" s="1"/>
  <c r="AH109" i="13" s="1"/>
  <c r="V87" i="13"/>
  <c r="V106" i="13" s="1"/>
  <c r="AT86" i="13"/>
  <c r="V88" i="13"/>
  <c r="AT88" i="13" s="1"/>
  <c r="AW81" i="13"/>
  <c r="Y89" i="13"/>
  <c r="I94" i="13"/>
  <c r="AH87" i="13"/>
  <c r="AH93" i="13" s="1"/>
  <c r="AH94" i="13" s="1"/>
  <c r="M82" i="13"/>
  <c r="AS87" i="13"/>
  <c r="U93" i="13"/>
  <c r="U108" i="13"/>
  <c r="AS108" i="13" s="1"/>
  <c r="AG93" i="13"/>
  <c r="Z49" i="32"/>
  <c r="D54" i="32"/>
  <c r="Z54" i="32" s="1"/>
  <c r="H99" i="13"/>
  <c r="D53" i="32"/>
  <c r="Z53" i="32" s="1"/>
  <c r="H101" i="13"/>
  <c r="D52" i="32"/>
  <c r="H95" i="13"/>
  <c r="I99" i="13"/>
  <c r="AG99" i="13" s="1"/>
  <c r="I101" i="13"/>
  <c r="I100" i="13"/>
  <c r="E52" i="32"/>
  <c r="E53" i="32"/>
  <c r="AA53" i="32" s="1"/>
  <c r="X82" i="13"/>
  <c r="X83" i="13" s="1"/>
  <c r="W86" i="13"/>
  <c r="AS106" i="13"/>
  <c r="T95" i="13"/>
  <c r="O49" i="32" s="1"/>
  <c r="AK49" i="32"/>
  <c r="O54" i="32"/>
  <c r="AK54" i="32" s="1"/>
  <c r="O53" i="32"/>
  <c r="AK53" i="32" s="1"/>
  <c r="O52" i="32"/>
  <c r="T100" i="13"/>
  <c r="T101" i="13"/>
  <c r="T99" i="13"/>
  <c r="Q53" i="32"/>
  <c r="AM53" i="32" s="1"/>
  <c r="Q52" i="32"/>
  <c r="AI86" i="13"/>
  <c r="AS88" i="13"/>
  <c r="M51" i="13"/>
  <c r="AK51" i="13" s="1"/>
  <c r="J24" i="32"/>
  <c r="AF21" i="32"/>
  <c r="AF26" i="32" s="1"/>
  <c r="K46" i="32"/>
  <c r="V15" i="32"/>
  <c r="O84" i="13"/>
  <c r="AP46" i="32"/>
  <c r="AF15" i="32"/>
  <c r="AF46" i="32"/>
  <c r="U46" i="32"/>
  <c r="AQ23" i="32"/>
  <c r="AQ22" i="32"/>
  <c r="AP15" i="32"/>
  <c r="L15" i="32"/>
  <c r="B10" i="29"/>
  <c r="AL79" i="13"/>
  <c r="Z84" i="13"/>
  <c r="Z81" i="13"/>
  <c r="Z89" i="13" s="1"/>
  <c r="AX89" i="13" s="1"/>
  <c r="P79" i="13"/>
  <c r="O81" i="13"/>
  <c r="AA79" i="13"/>
  <c r="AW79" i="13"/>
  <c r="AX21" i="13"/>
  <c r="AB21" i="13"/>
  <c r="AB44" i="13" s="1"/>
  <c r="AM21" i="13"/>
  <c r="AA26" i="13"/>
  <c r="AA23" i="13"/>
  <c r="AY23" i="13" s="1"/>
  <c r="Q21" i="13"/>
  <c r="Q44" i="13" s="1"/>
  <c r="P26" i="13"/>
  <c r="P23" i="13"/>
  <c r="L51" i="13" l="1"/>
  <c r="AJ51" i="13" s="1"/>
  <c r="AK30" i="13"/>
  <c r="AK36" i="13" s="1"/>
  <c r="AK37" i="13" s="1"/>
  <c r="K93" i="13"/>
  <c r="K94" i="13" s="1"/>
  <c r="L87" i="13"/>
  <c r="L106" i="13" s="1"/>
  <c r="L88" i="13"/>
  <c r="AJ88" i="13" s="1"/>
  <c r="K43" i="13"/>
  <c r="J38" i="13"/>
  <c r="J44" i="13" s="1"/>
  <c r="AI36" i="13"/>
  <c r="AI37" i="13" s="1"/>
  <c r="AI38" i="13" s="1"/>
  <c r="AT30" i="13"/>
  <c r="AT36" i="13" s="1"/>
  <c r="AT37" i="13" s="1"/>
  <c r="AT38" i="13" s="1"/>
  <c r="V38" i="13" s="1"/>
  <c r="W44" i="13" s="1"/>
  <c r="V36" i="13"/>
  <c r="V37" i="13" s="1"/>
  <c r="V49" i="13"/>
  <c r="AT49" i="13" s="1"/>
  <c r="X31" i="13"/>
  <c r="AV31" i="13" s="1"/>
  <c r="AJ31" i="13"/>
  <c r="P49" i="13"/>
  <c r="AN49" i="13" s="1"/>
  <c r="X30" i="13"/>
  <c r="M36" i="13"/>
  <c r="M37" i="13" s="1"/>
  <c r="Y30" i="13"/>
  <c r="AU30" i="13"/>
  <c r="AU36" i="13" s="1"/>
  <c r="AU37" i="13" s="1"/>
  <c r="AU38" i="13" s="1"/>
  <c r="W38" i="13" s="1"/>
  <c r="X44" i="13" s="1"/>
  <c r="W49" i="13"/>
  <c r="AU49" i="13" s="1"/>
  <c r="W36" i="13"/>
  <c r="W37" i="13" s="1"/>
  <c r="L36" i="13"/>
  <c r="L37" i="13" s="1"/>
  <c r="AJ30" i="13"/>
  <c r="AJ36" i="13" s="1"/>
  <c r="AJ37" i="13" s="1"/>
  <c r="AJ38" i="13" s="1"/>
  <c r="AA49" i="13"/>
  <c r="AY49" i="13" s="1"/>
  <c r="AX27" i="13"/>
  <c r="AA36" i="13"/>
  <c r="AA37" i="13" s="1"/>
  <c r="AB31" i="13"/>
  <c r="AB35" i="13"/>
  <c r="AB32" i="13"/>
  <c r="AB29" i="13"/>
  <c r="AB38" i="13"/>
  <c r="AB33" i="13"/>
  <c r="AN32" i="13"/>
  <c r="Q95" i="13"/>
  <c r="Q90" i="13"/>
  <c r="Q87" i="13"/>
  <c r="AO34" i="13"/>
  <c r="Q38" i="13"/>
  <c r="AO91" i="13"/>
  <c r="Q88" i="13"/>
  <c r="Q92" i="13"/>
  <c r="Q31" i="13"/>
  <c r="Q30" i="13"/>
  <c r="AB30" i="13" s="1"/>
  <c r="Q35" i="13"/>
  <c r="AO35" i="13" s="1"/>
  <c r="Q32" i="13"/>
  <c r="Q29" i="13"/>
  <c r="Q49" i="13" s="1"/>
  <c r="AO49" i="13" s="1"/>
  <c r="Q89" i="13"/>
  <c r="AO89" i="13" s="1"/>
  <c r="Q33" i="13"/>
  <c r="AB92" i="13"/>
  <c r="AZ92" i="13" s="1"/>
  <c r="P93" i="13"/>
  <c r="AX35" i="13"/>
  <c r="AX32" i="13"/>
  <c r="AX29" i="13"/>
  <c r="AX33" i="13"/>
  <c r="AX30" i="13"/>
  <c r="AX34" i="13"/>
  <c r="AX31" i="13"/>
  <c r="P36" i="13"/>
  <c r="P37" i="13" s="1"/>
  <c r="AA27" i="13"/>
  <c r="AM27" i="13" s="1"/>
  <c r="AY27" i="13" s="1"/>
  <c r="AG23" i="32"/>
  <c r="AA52" i="32"/>
  <c r="V21" i="32"/>
  <c r="V26" i="32" s="1"/>
  <c r="K26" i="32"/>
  <c r="Z52" i="32"/>
  <c r="AK52" i="13"/>
  <c r="AF24" i="32"/>
  <c r="AG22" i="32"/>
  <c r="AM90" i="13"/>
  <c r="AM89" i="13"/>
  <c r="P27" i="13"/>
  <c r="L23" i="32"/>
  <c r="W23" i="32" s="1"/>
  <c r="L22" i="32"/>
  <c r="W22" i="32" s="1"/>
  <c r="J109" i="13"/>
  <c r="V108" i="13"/>
  <c r="AT108" i="13" s="1"/>
  <c r="AM29" i="13"/>
  <c r="AX81" i="13"/>
  <c r="Z90" i="13"/>
  <c r="AX90" i="13" s="1"/>
  <c r="AN33" i="13"/>
  <c r="M83" i="13"/>
  <c r="M86" i="13" s="1"/>
  <c r="N82" i="13"/>
  <c r="N86" i="13" s="1"/>
  <c r="N94" i="13" s="1"/>
  <c r="AL31" i="13"/>
  <c r="N51" i="13"/>
  <c r="AL51" i="13" s="1"/>
  <c r="P24" i="13"/>
  <c r="P25" i="13" s="1"/>
  <c r="AA24" i="13"/>
  <c r="AA25" i="13" s="1"/>
  <c r="N43" i="13"/>
  <c r="AL30" i="13"/>
  <c r="L21" i="32"/>
  <c r="AS109" i="13"/>
  <c r="U109" i="13"/>
  <c r="K108" i="13"/>
  <c r="AI108" i="13" s="1"/>
  <c r="AI106" i="13"/>
  <c r="W87" i="13"/>
  <c r="W106" i="13" s="1"/>
  <c r="AU86" i="13"/>
  <c r="W88" i="13"/>
  <c r="AT106" i="13"/>
  <c r="AO92" i="13"/>
  <c r="AZ91" i="13"/>
  <c r="AB89" i="13"/>
  <c r="AZ89" i="13" s="1"/>
  <c r="D49" i="32"/>
  <c r="AG94" i="13"/>
  <c r="AS93" i="13"/>
  <c r="E56" i="32"/>
  <c r="E48" i="32"/>
  <c r="AI88" i="13"/>
  <c r="O55" i="32"/>
  <c r="AK52" i="32"/>
  <c r="F56" i="32"/>
  <c r="F48" i="32"/>
  <c r="AY92" i="13"/>
  <c r="V93" i="13"/>
  <c r="V94" i="13" s="1"/>
  <c r="AT87" i="13"/>
  <c r="AT93" i="13" s="1"/>
  <c r="AT94" i="13" s="1"/>
  <c r="AI87" i="13"/>
  <c r="AM52" i="32"/>
  <c r="AB56" i="32"/>
  <c r="AH95" i="13"/>
  <c r="J95" i="13" s="1"/>
  <c r="AB48" i="32"/>
  <c r="Y82" i="13"/>
  <c r="X86" i="13"/>
  <c r="U94" i="13"/>
  <c r="AJ86" i="13"/>
  <c r="AW89" i="13"/>
  <c r="AY91" i="13"/>
  <c r="W15" i="32"/>
  <c r="L46" i="32"/>
  <c r="AQ46" i="32"/>
  <c r="AG15" i="32"/>
  <c r="AR22" i="32"/>
  <c r="V46" i="32"/>
  <c r="AR23" i="32"/>
  <c r="AG46" i="32"/>
  <c r="U24" i="32"/>
  <c r="AQ21" i="32"/>
  <c r="AQ15" i="32"/>
  <c r="AG21" i="32"/>
  <c r="AG26" i="32" s="1"/>
  <c r="K24" i="32"/>
  <c r="M15" i="32"/>
  <c r="B11" i="29"/>
  <c r="P84" i="13"/>
  <c r="AM79" i="13"/>
  <c r="AA84" i="13"/>
  <c r="AA81" i="13"/>
  <c r="AA89" i="13" s="1"/>
  <c r="AY89" i="13" s="1"/>
  <c r="AB79" i="13"/>
  <c r="P81" i="13"/>
  <c r="AN90" i="13" s="1"/>
  <c r="Q79" i="13"/>
  <c r="Q27" i="13"/>
  <c r="AC27" i="13" s="1"/>
  <c r="AO27" i="13" s="1"/>
  <c r="AX79" i="13"/>
  <c r="AC21" i="13"/>
  <c r="AC44" i="13" s="1"/>
  <c r="AY21" i="13"/>
  <c r="AN21" i="13"/>
  <c r="AB26" i="13"/>
  <c r="AB23" i="13"/>
  <c r="AZ23" i="13" s="1"/>
  <c r="Q26" i="13"/>
  <c r="Q23" i="13"/>
  <c r="Q24" i="13" s="1"/>
  <c r="AB36" i="13" l="1"/>
  <c r="AB37" i="13" s="1"/>
  <c r="L93" i="13"/>
  <c r="L94" i="13" s="1"/>
  <c r="M87" i="13"/>
  <c r="M88" i="13"/>
  <c r="L43" i="13"/>
  <c r="K38" i="13"/>
  <c r="K44" i="13" s="1"/>
  <c r="M43" i="13"/>
  <c r="L38" i="13"/>
  <c r="L44" i="13" s="1"/>
  <c r="X36" i="13"/>
  <c r="X37" i="13" s="1"/>
  <c r="X49" i="13"/>
  <c r="AV49" i="13" s="1"/>
  <c r="AV30" i="13"/>
  <c r="AV36" i="13" s="1"/>
  <c r="AV37" i="13" s="1"/>
  <c r="AV38" i="13" s="1"/>
  <c r="X38" i="13" s="1"/>
  <c r="Y44" i="13" s="1"/>
  <c r="Y36" i="13"/>
  <c r="Y37" i="13" s="1"/>
  <c r="Y49" i="13"/>
  <c r="AW49" i="13" s="1"/>
  <c r="AW30" i="13"/>
  <c r="AW36" i="13" s="1"/>
  <c r="AW37" i="13" s="1"/>
  <c r="AW38" i="13" s="1"/>
  <c r="Y38" i="13" s="1"/>
  <c r="R49" i="13"/>
  <c r="AB49" i="13"/>
  <c r="AZ49" i="13" s="1"/>
  <c r="O57" i="32"/>
  <c r="O58" i="32" s="1"/>
  <c r="AC35" i="13"/>
  <c r="AC32" i="13"/>
  <c r="AC29" i="13"/>
  <c r="AC38" i="13"/>
  <c r="AC33" i="13"/>
  <c r="AC34" i="13"/>
  <c r="AC31" i="13"/>
  <c r="Q36" i="13"/>
  <c r="Q37" i="13" s="1"/>
  <c r="AX36" i="13"/>
  <c r="AX37" i="13" s="1"/>
  <c r="AX38" i="13" s="1"/>
  <c r="AC92" i="13"/>
  <c r="AY33" i="13"/>
  <c r="AY30" i="13"/>
  <c r="AY34" i="13"/>
  <c r="AY31" i="13"/>
  <c r="AY35" i="13"/>
  <c r="AY29" i="13"/>
  <c r="AY32" i="13"/>
  <c r="Q93" i="13"/>
  <c r="AK38" i="13"/>
  <c r="M38" i="13" s="1"/>
  <c r="M44" i="13" s="1"/>
  <c r="R33" i="13"/>
  <c r="AB27" i="13"/>
  <c r="AN27" i="13" s="1"/>
  <c r="AZ27" i="13" s="1"/>
  <c r="R30" i="13"/>
  <c r="AC30" i="13" s="1"/>
  <c r="R31" i="13"/>
  <c r="R35" i="13"/>
  <c r="R32" i="13"/>
  <c r="R29" i="13"/>
  <c r="AH23" i="32"/>
  <c r="Z55" i="32"/>
  <c r="AO32" i="13"/>
  <c r="AQ24" i="32"/>
  <c r="AQ26" i="32"/>
  <c r="W21" i="32"/>
  <c r="W26" i="32" s="1"/>
  <c r="L26" i="32"/>
  <c r="M52" i="13"/>
  <c r="AH22" i="32"/>
  <c r="W108" i="13"/>
  <c r="AU108" i="13" s="1"/>
  <c r="AG24" i="32"/>
  <c r="M23" i="32"/>
  <c r="X23" i="32" s="1"/>
  <c r="M22" i="32"/>
  <c r="X22" i="32" s="1"/>
  <c r="AT109" i="13"/>
  <c r="V109" i="13"/>
  <c r="AL52" i="13"/>
  <c r="AN29" i="13"/>
  <c r="P51" i="13"/>
  <c r="AN51" i="13" s="1"/>
  <c r="AB24" i="13"/>
  <c r="Y83" i="13"/>
  <c r="Y86" i="13" s="1"/>
  <c r="Z82" i="13"/>
  <c r="AB25" i="13"/>
  <c r="AA51" i="13"/>
  <c r="AY51" i="13" s="1"/>
  <c r="AL43" i="13"/>
  <c r="Z43" i="13"/>
  <c r="AX43" i="13" s="1"/>
  <c r="AM30" i="13"/>
  <c r="AY81" i="13"/>
  <c r="AA90" i="13"/>
  <c r="AY90" i="13" s="1"/>
  <c r="AO33" i="13"/>
  <c r="Q25" i="13"/>
  <c r="J25" i="32"/>
  <c r="J27" i="32" s="1"/>
  <c r="N46" i="13" s="1"/>
  <c r="J17" i="32"/>
  <c r="N83" i="13"/>
  <c r="O82" i="13"/>
  <c r="O86" i="13" s="1"/>
  <c r="O94" i="13" s="1"/>
  <c r="AM31" i="13"/>
  <c r="N52" i="13"/>
  <c r="AL36" i="13"/>
  <c r="AL37" i="13" s="1"/>
  <c r="AL44" i="13"/>
  <c r="AX44" i="13"/>
  <c r="O51" i="13"/>
  <c r="AM51" i="13" s="1"/>
  <c r="M21" i="32"/>
  <c r="K109" i="13"/>
  <c r="L108" i="13"/>
  <c r="AJ108" i="13" s="1"/>
  <c r="AJ106" i="13"/>
  <c r="AT95" i="13"/>
  <c r="AM56" i="32"/>
  <c r="AM48" i="32"/>
  <c r="AU106" i="13"/>
  <c r="AK86" i="13"/>
  <c r="AK88" i="13"/>
  <c r="M106" i="13"/>
  <c r="AC89" i="13"/>
  <c r="R89" i="13"/>
  <c r="AI93" i="13"/>
  <c r="AG95" i="13"/>
  <c r="F54" i="32" s="1"/>
  <c r="AB54" i="32" s="1"/>
  <c r="AA56" i="32"/>
  <c r="AA48" i="32"/>
  <c r="R107" i="13"/>
  <c r="AI109" i="13"/>
  <c r="P48" i="32"/>
  <c r="Q56" i="32"/>
  <c r="AV86" i="13"/>
  <c r="X87" i="13"/>
  <c r="AV87" i="13" s="1"/>
  <c r="X88" i="13"/>
  <c r="AS94" i="13"/>
  <c r="AU87" i="13"/>
  <c r="AJ87" i="13"/>
  <c r="AJ93" i="13" s="1"/>
  <c r="AJ94" i="13" s="1"/>
  <c r="R91" i="13"/>
  <c r="F49" i="32"/>
  <c r="K100" i="13"/>
  <c r="AI100" i="13" s="1"/>
  <c r="K101" i="13"/>
  <c r="AI101" i="13" s="1"/>
  <c r="K99" i="13"/>
  <c r="G52" i="32"/>
  <c r="G53" i="32"/>
  <c r="AC53" i="32" s="1"/>
  <c r="AB49" i="32"/>
  <c r="G56" i="32"/>
  <c r="G48" i="32"/>
  <c r="Q48" i="32"/>
  <c r="R56" i="32"/>
  <c r="R92" i="13"/>
  <c r="W93" i="13"/>
  <c r="AU88" i="13"/>
  <c r="AR46" i="32"/>
  <c r="AR15" i="32"/>
  <c r="AH21" i="32"/>
  <c r="AH26" i="32" s="1"/>
  <c r="L24" i="32"/>
  <c r="Q84" i="13"/>
  <c r="M46" i="32"/>
  <c r="X15" i="32"/>
  <c r="AH46" i="32"/>
  <c r="AS22" i="32"/>
  <c r="AH15" i="32"/>
  <c r="W46" i="32"/>
  <c r="AS23" i="32"/>
  <c r="V24" i="32"/>
  <c r="AR21" i="32"/>
  <c r="B12" i="29"/>
  <c r="BA27" i="13"/>
  <c r="Q81" i="13"/>
  <c r="AO90" i="13" s="1"/>
  <c r="AC79" i="13"/>
  <c r="AB84" i="13"/>
  <c r="AB81" i="13"/>
  <c r="AN79" i="13"/>
  <c r="AY79" i="13"/>
  <c r="AZ21" i="13"/>
  <c r="AO21" i="13"/>
  <c r="AC26" i="13"/>
  <c r="AC23" i="13"/>
  <c r="BA23" i="13" s="1"/>
  <c r="M93" i="13" l="1"/>
  <c r="M94" i="13" s="1"/>
  <c r="T104" i="13"/>
  <c r="O59" i="32"/>
  <c r="T103" i="13"/>
  <c r="O60" i="32" s="1"/>
  <c r="AC49" i="13"/>
  <c r="BA49" i="13" s="1"/>
  <c r="AP49" i="13"/>
  <c r="T102" i="13"/>
  <c r="M21" i="31"/>
  <c r="Z57" i="32"/>
  <c r="AC36" i="13"/>
  <c r="AC37" i="13" s="1"/>
  <c r="AD107" i="13"/>
  <c r="Z58" i="32"/>
  <c r="Z59" i="32" s="1"/>
  <c r="AP107" i="13"/>
  <c r="AP91" i="13"/>
  <c r="AP50" i="13"/>
  <c r="AP90" i="13"/>
  <c r="AP92" i="13"/>
  <c r="AP89" i="13"/>
  <c r="AY36" i="13"/>
  <c r="AY37" i="13" s="1"/>
  <c r="AY38" i="13" s="1"/>
  <c r="AZ34" i="13"/>
  <c r="AZ31" i="13"/>
  <c r="AZ35" i="13"/>
  <c r="AZ32" i="13"/>
  <c r="AZ29" i="13"/>
  <c r="AZ30" i="13"/>
  <c r="AZ33" i="13"/>
  <c r="AI23" i="32"/>
  <c r="F12" i="29"/>
  <c r="C12" i="29"/>
  <c r="D12" i="29"/>
  <c r="E12" i="29"/>
  <c r="AR24" i="32"/>
  <c r="AR26" i="32"/>
  <c r="X21" i="32"/>
  <c r="X26" i="32" s="1"/>
  <c r="M26" i="32"/>
  <c r="AC52" i="32"/>
  <c r="AH24" i="32"/>
  <c r="AU109" i="13"/>
  <c r="W109" i="13"/>
  <c r="N45" i="13"/>
  <c r="N47" i="13"/>
  <c r="AI22" i="32"/>
  <c r="P52" i="13"/>
  <c r="AQ18" i="32"/>
  <c r="AQ27" i="32"/>
  <c r="AQ28" i="32" s="1"/>
  <c r="AQ25" i="32"/>
  <c r="AQ17" i="32"/>
  <c r="AL86" i="13"/>
  <c r="N108" i="13"/>
  <c r="AL108" i="13" s="1"/>
  <c r="R90" i="13"/>
  <c r="AY52" i="13"/>
  <c r="AA52" i="13"/>
  <c r="AO29" i="13"/>
  <c r="K25" i="32"/>
  <c r="K27" i="32" s="1"/>
  <c r="O46" i="13" s="1"/>
  <c r="K17" i="32"/>
  <c r="Z83" i="13"/>
  <c r="Z86" i="13" s="1"/>
  <c r="AA82" i="13"/>
  <c r="AZ81" i="13"/>
  <c r="AB90" i="13"/>
  <c r="AZ90" i="13" s="1"/>
  <c r="AC24" i="13"/>
  <c r="AC25" i="13" s="1"/>
  <c r="AL38" i="13"/>
  <c r="AF17" i="32"/>
  <c r="AF27" i="32"/>
  <c r="AF28" i="32" s="1"/>
  <c r="AF25" i="32"/>
  <c r="AB51" i="13"/>
  <c r="AZ51" i="13" s="1"/>
  <c r="U17" i="32"/>
  <c r="U25" i="32"/>
  <c r="U27" i="32" s="1"/>
  <c r="U28" i="32" s="1"/>
  <c r="AN30" i="13"/>
  <c r="AM52" i="13"/>
  <c r="O52" i="13"/>
  <c r="O83" i="13"/>
  <c r="P82" i="13"/>
  <c r="P86" i="13" s="1"/>
  <c r="P94" i="13" s="1"/>
  <c r="J28" i="32"/>
  <c r="AM36" i="13"/>
  <c r="AM37" i="13" s="1"/>
  <c r="AN31" i="13"/>
  <c r="AJ109" i="13"/>
  <c r="L109" i="13"/>
  <c r="X106" i="13"/>
  <c r="AV106" i="13" s="1"/>
  <c r="Y87" i="13"/>
  <c r="Y106" i="13" s="1"/>
  <c r="AW86" i="13"/>
  <c r="Y88" i="13"/>
  <c r="AC102" i="13"/>
  <c r="BA102" i="13" s="1"/>
  <c r="AI99" i="13"/>
  <c r="AS95" i="13"/>
  <c r="R54" i="32" s="1"/>
  <c r="AN54" i="32" s="1"/>
  <c r="AL56" i="32"/>
  <c r="AL48" i="32"/>
  <c r="X108" i="13"/>
  <c r="I95" i="13"/>
  <c r="J99" i="13"/>
  <c r="J101" i="13"/>
  <c r="AH101" i="13" s="1"/>
  <c r="J100" i="13"/>
  <c r="E54" i="32"/>
  <c r="AA54" i="32" s="1"/>
  <c r="AA55" i="32" s="1"/>
  <c r="F53" i="32"/>
  <c r="AB53" i="32" s="1"/>
  <c r="AA49" i="32"/>
  <c r="F52" i="32"/>
  <c r="AI94" i="13"/>
  <c r="AK87" i="13"/>
  <c r="AK93" i="13" s="1"/>
  <c r="AK94" i="13" s="1"/>
  <c r="W99" i="13"/>
  <c r="W101" i="13"/>
  <c r="AU101" i="13" s="1"/>
  <c r="W100" i="13"/>
  <c r="AU100" i="13" s="1"/>
  <c r="S52" i="32"/>
  <c r="AM49" i="32"/>
  <c r="S53" i="32"/>
  <c r="AO53" i="32" s="1"/>
  <c r="V95" i="13"/>
  <c r="Q49" i="32" s="1"/>
  <c r="X93" i="13"/>
  <c r="X94" i="13" s="1"/>
  <c r="AV88" i="13"/>
  <c r="AV93" i="13" s="1"/>
  <c r="AV94" i="13" s="1"/>
  <c r="BB107" i="13"/>
  <c r="BA89" i="13"/>
  <c r="BB89" i="13" s="1"/>
  <c r="AD89" i="13"/>
  <c r="AK106" i="13"/>
  <c r="W94" i="13"/>
  <c r="AJ95" i="13"/>
  <c r="L95" i="13" s="1"/>
  <c r="AD56" i="32"/>
  <c r="AD48" i="32"/>
  <c r="AU93" i="13"/>
  <c r="BA92" i="13"/>
  <c r="BB92" i="13" s="1"/>
  <c r="AD92" i="13"/>
  <c r="BA91" i="13"/>
  <c r="BB91" i="13" s="1"/>
  <c r="AD91" i="13"/>
  <c r="M108" i="13"/>
  <c r="AS15" i="32"/>
  <c r="M24" i="32"/>
  <c r="AI21" i="32"/>
  <c r="AI26" i="32" s="1"/>
  <c r="AI15" i="32"/>
  <c r="X46" i="32"/>
  <c r="AT23" i="32"/>
  <c r="AI46" i="32"/>
  <c r="AT22" i="32"/>
  <c r="AS21" i="32"/>
  <c r="W24" i="32"/>
  <c r="AS46" i="32"/>
  <c r="L20" i="31"/>
  <c r="B13" i="29"/>
  <c r="AZ79" i="13"/>
  <c r="AO79" i="13"/>
  <c r="AC84" i="13"/>
  <c r="AC81" i="13"/>
  <c r="AP35" i="13"/>
  <c r="BA21" i="13"/>
  <c r="O61" i="32" l="1"/>
  <c r="O62" i="32" s="1"/>
  <c r="T105" i="13"/>
  <c r="T113" i="13" s="1"/>
  <c r="AA58" i="32"/>
  <c r="AA57" i="32"/>
  <c r="T110" i="13"/>
  <c r="BA35" i="13"/>
  <c r="BA32" i="13"/>
  <c r="BA29" i="13"/>
  <c r="BA33" i="13"/>
  <c r="BA30" i="13"/>
  <c r="BA31" i="13"/>
  <c r="BA34" i="13"/>
  <c r="AZ36" i="13"/>
  <c r="AZ37" i="13" s="1"/>
  <c r="AZ38" i="13" s="1"/>
  <c r="Y108" i="13"/>
  <c r="AW108" i="13" s="1"/>
  <c r="D13" i="29"/>
  <c r="F13" i="29"/>
  <c r="C13" i="29"/>
  <c r="E13" i="29"/>
  <c r="AS24" i="32"/>
  <c r="AS26" i="32"/>
  <c r="AI24" i="32"/>
  <c r="AN52" i="13"/>
  <c r="N106" i="13"/>
  <c r="N109" i="13" s="1"/>
  <c r="O45" i="13"/>
  <c r="O47" i="13"/>
  <c r="E55" i="32"/>
  <c r="X109" i="13"/>
  <c r="AR18" i="32"/>
  <c r="AR27" i="32"/>
  <c r="AR28" i="32" s="1"/>
  <c r="AR17" i="32"/>
  <c r="AR25" i="32"/>
  <c r="Z87" i="13"/>
  <c r="Z108" i="13" s="1"/>
  <c r="AX108" i="13" s="1"/>
  <c r="Z88" i="13"/>
  <c r="AX88" i="13" s="1"/>
  <c r="AX86" i="13"/>
  <c r="AB52" i="13"/>
  <c r="AZ52" i="13"/>
  <c r="AL45" i="13"/>
  <c r="Z45" i="13"/>
  <c r="AX45" i="13" s="1"/>
  <c r="AM86" i="13"/>
  <c r="AM88" i="13"/>
  <c r="O106" i="13"/>
  <c r="AN36" i="13"/>
  <c r="AN37" i="13" s="1"/>
  <c r="AA83" i="13"/>
  <c r="AA86" i="13" s="1"/>
  <c r="AB82" i="13"/>
  <c r="K28" i="32"/>
  <c r="Q51" i="13"/>
  <c r="AO51" i="13" s="1"/>
  <c r="BA81" i="13"/>
  <c r="AC90" i="13"/>
  <c r="AL46" i="13"/>
  <c r="Z46" i="13"/>
  <c r="P83" i="13"/>
  <c r="Q82" i="13"/>
  <c r="Q86" i="13" s="1"/>
  <c r="Q94" i="13" s="1"/>
  <c r="L17" i="32"/>
  <c r="L25" i="32"/>
  <c r="L27" i="32" s="1"/>
  <c r="V17" i="32"/>
  <c r="V25" i="32"/>
  <c r="V27" i="32" s="1"/>
  <c r="V28" i="32" s="1"/>
  <c r="AO31" i="13"/>
  <c r="AL87" i="13"/>
  <c r="AM38" i="13"/>
  <c r="AG17" i="32"/>
  <c r="AG27" i="32"/>
  <c r="AG28" i="32" s="1"/>
  <c r="AG25" i="32"/>
  <c r="AL47" i="13"/>
  <c r="Z47" i="13"/>
  <c r="AX47" i="13" s="1"/>
  <c r="AC51" i="13"/>
  <c r="BA51" i="13" s="1"/>
  <c r="N42" i="13"/>
  <c r="O43" i="13"/>
  <c r="AF18" i="32"/>
  <c r="AO30" i="13"/>
  <c r="AL88" i="13"/>
  <c r="AV95" i="13"/>
  <c r="AO56" i="32"/>
  <c r="AO48" i="32"/>
  <c r="AW106" i="13"/>
  <c r="AK108" i="13"/>
  <c r="AK109" i="13" s="1"/>
  <c r="H49" i="32"/>
  <c r="M99" i="13"/>
  <c r="M101" i="13"/>
  <c r="AK101" i="13" s="1"/>
  <c r="M100" i="13"/>
  <c r="AK100" i="13" s="1"/>
  <c r="AD49" i="32"/>
  <c r="I53" i="32"/>
  <c r="AE53" i="32" s="1"/>
  <c r="I52" i="32"/>
  <c r="R48" i="32"/>
  <c r="S56" i="32"/>
  <c r="H56" i="32"/>
  <c r="H48" i="32"/>
  <c r="AO52" i="32"/>
  <c r="I56" i="32"/>
  <c r="I48" i="32"/>
  <c r="AH100" i="13"/>
  <c r="E49" i="32"/>
  <c r="U99" i="13"/>
  <c r="U101" i="13"/>
  <c r="U100" i="13"/>
  <c r="U95" i="13"/>
  <c r="P49" i="32" s="1"/>
  <c r="V99" i="13"/>
  <c r="P54" i="32"/>
  <c r="AL54" i="32" s="1"/>
  <c r="V101" i="13"/>
  <c r="AT101" i="13" s="1"/>
  <c r="P52" i="32"/>
  <c r="P53" i="32"/>
  <c r="AL53" i="32" s="1"/>
  <c r="V100" i="13"/>
  <c r="AT100" i="13" s="1"/>
  <c r="AL49" i="32"/>
  <c r="Q54" i="32"/>
  <c r="R53" i="32"/>
  <c r="AN53" i="32" s="1"/>
  <c r="R52" i="32"/>
  <c r="AE56" i="32"/>
  <c r="AK95" i="13"/>
  <c r="M95" i="13" s="1"/>
  <c r="AE48" i="32"/>
  <c r="AU99" i="13"/>
  <c r="AI95" i="13"/>
  <c r="K95" i="13" s="1"/>
  <c r="AC56" i="32"/>
  <c r="AC48" i="32"/>
  <c r="Y93" i="13"/>
  <c r="AW87" i="13"/>
  <c r="AU94" i="13"/>
  <c r="M109" i="13"/>
  <c r="S48" i="32"/>
  <c r="T56" i="32"/>
  <c r="AB52" i="32"/>
  <c r="F55" i="32"/>
  <c r="AH99" i="13"/>
  <c r="AV108" i="13"/>
  <c r="AV109" i="13" s="1"/>
  <c r="AW88" i="13"/>
  <c r="AT46" i="32"/>
  <c r="N20" i="31"/>
  <c r="AT15" i="32"/>
  <c r="X24" i="32"/>
  <c r="AT21" i="32"/>
  <c r="B14" i="29"/>
  <c r="BA79" i="13"/>
  <c r="AR23" i="13"/>
  <c r="E57" i="32" l="1"/>
  <c r="E58" i="32" s="1"/>
  <c r="E59" i="32" s="1"/>
  <c r="F57" i="32"/>
  <c r="F58" i="32" s="1"/>
  <c r="F59" i="32" s="1"/>
  <c r="Y109" i="13"/>
  <c r="BA36" i="13"/>
  <c r="BA37" i="13" s="1"/>
  <c r="BA38" i="13" s="1"/>
  <c r="O108" i="13"/>
  <c r="AM108" i="13" s="1"/>
  <c r="P46" i="13"/>
  <c r="P45" i="13"/>
  <c r="P47" i="13"/>
  <c r="E14" i="29"/>
  <c r="C14" i="29"/>
  <c r="D14" i="29"/>
  <c r="F14" i="29"/>
  <c r="AT24" i="32"/>
  <c r="AT26" i="32"/>
  <c r="AB55" i="32"/>
  <c r="AB57" i="32" s="1"/>
  <c r="AE52" i="32"/>
  <c r="AL106" i="13"/>
  <c r="AL109" i="13" s="1"/>
  <c r="Z106" i="13"/>
  <c r="Z109" i="13" s="1"/>
  <c r="J104" i="13"/>
  <c r="AH104" i="13" s="1"/>
  <c r="AO52" i="13"/>
  <c r="AA87" i="13"/>
  <c r="AA106" i="13" s="1"/>
  <c r="AA88" i="13"/>
  <c r="AY86" i="13"/>
  <c r="AS18" i="32"/>
  <c r="AS27" i="32"/>
  <c r="AS28" i="32" s="1"/>
  <c r="AS25" i="32"/>
  <c r="AS17" i="32"/>
  <c r="U52" i="32"/>
  <c r="U53" i="32"/>
  <c r="AQ53" i="32" s="1"/>
  <c r="AO36" i="13"/>
  <c r="AO37" i="13" s="1"/>
  <c r="AL42" i="13"/>
  <c r="AL48" i="13" s="1"/>
  <c r="Z42" i="13"/>
  <c r="N48" i="13"/>
  <c r="W17" i="32"/>
  <c r="W25" i="32"/>
  <c r="W27" i="32" s="1"/>
  <c r="W28" i="32" s="1"/>
  <c r="AN86" i="13"/>
  <c r="P108" i="13"/>
  <c r="P106" i="13"/>
  <c r="BA90" i="13"/>
  <c r="BB90" i="13" s="1"/>
  <c r="AD90" i="13"/>
  <c r="AM47" i="13"/>
  <c r="AA47" i="13"/>
  <c r="AY47" i="13" s="1"/>
  <c r="AB83" i="13"/>
  <c r="AB86" i="13" s="1"/>
  <c r="AC82" i="13"/>
  <c r="AM106" i="13"/>
  <c r="Z93" i="13"/>
  <c r="Z94" i="13" s="1"/>
  <c r="AX87" i="13"/>
  <c r="AX93" i="13" s="1"/>
  <c r="AX94" i="13" s="1"/>
  <c r="Q52" i="13"/>
  <c r="N99" i="13"/>
  <c r="N101" i="13"/>
  <c r="AL101" i="13" s="1"/>
  <c r="N100" i="13"/>
  <c r="AL100" i="13" s="1"/>
  <c r="J53" i="32"/>
  <c r="AF53" i="32" s="1"/>
  <c r="J52" i="32"/>
  <c r="X25" i="32"/>
  <c r="X27" i="32" s="1"/>
  <c r="X28" i="32" s="1"/>
  <c r="X17" i="32"/>
  <c r="AM44" i="13"/>
  <c r="AY44" i="13"/>
  <c r="J18" i="32"/>
  <c r="U18" i="32"/>
  <c r="Q83" i="13"/>
  <c r="AX46" i="13"/>
  <c r="AM45" i="13"/>
  <c r="AA45" i="13"/>
  <c r="AY45" i="13" s="1"/>
  <c r="M25" i="32"/>
  <c r="M27" i="32" s="1"/>
  <c r="M17" i="32"/>
  <c r="AM43" i="13"/>
  <c r="AA43" i="13"/>
  <c r="AY43" i="13" s="1"/>
  <c r="O42" i="13"/>
  <c r="P43" i="13"/>
  <c r="AG18" i="32"/>
  <c r="AL93" i="13"/>
  <c r="L28" i="32"/>
  <c r="AM46" i="13"/>
  <c r="AA46" i="13"/>
  <c r="AN38" i="13"/>
  <c r="AH25" i="32"/>
  <c r="AH17" i="32"/>
  <c r="AH27" i="32"/>
  <c r="AH28" i="32" s="1"/>
  <c r="AM87" i="13"/>
  <c r="AM93" i="13" s="1"/>
  <c r="AM94" i="13" s="1"/>
  <c r="K104" i="13"/>
  <c r="AI104" i="13" s="1"/>
  <c r="K103" i="13"/>
  <c r="J102" i="13"/>
  <c r="L99" i="13"/>
  <c r="L101" i="13"/>
  <c r="AJ101" i="13" s="1"/>
  <c r="L100" i="13"/>
  <c r="G54" i="32"/>
  <c r="H52" i="32"/>
  <c r="AC49" i="32"/>
  <c r="H53" i="32"/>
  <c r="AD53" i="32" s="1"/>
  <c r="AN52" i="32"/>
  <c r="R55" i="32"/>
  <c r="AL52" i="32"/>
  <c r="P55" i="32"/>
  <c r="AT99" i="13"/>
  <c r="AW93" i="13"/>
  <c r="I54" i="32"/>
  <c r="I49" i="32"/>
  <c r="AE49" i="32"/>
  <c r="AS99" i="13"/>
  <c r="AK99" i="13"/>
  <c r="AU95" i="13"/>
  <c r="T54" i="32" s="1"/>
  <c r="AP54" i="32" s="1"/>
  <c r="AN56" i="32"/>
  <c r="AN48" i="32"/>
  <c r="Y94" i="13"/>
  <c r="U56" i="32" s="1"/>
  <c r="AM54" i="32"/>
  <c r="AM55" i="32" s="1"/>
  <c r="AM57" i="32" s="1"/>
  <c r="Q55" i="32"/>
  <c r="H54" i="32"/>
  <c r="AD54" i="32" s="1"/>
  <c r="AW109" i="13"/>
  <c r="Y99" i="13"/>
  <c r="Y101" i="13"/>
  <c r="AW101" i="13" s="1"/>
  <c r="Y100" i="13"/>
  <c r="AW100" i="13" s="1"/>
  <c r="AO49" i="32"/>
  <c r="X95" i="13"/>
  <c r="S49" i="32" s="1"/>
  <c r="AT18" i="32"/>
  <c r="AT27" i="32"/>
  <c r="AT28" i="32" s="1"/>
  <c r="AT25" i="32"/>
  <c r="AT17" i="32"/>
  <c r="AA59" i="32"/>
  <c r="B15" i="29"/>
  <c r="AB58" i="32" l="1"/>
  <c r="AB59" i="32" s="1"/>
  <c r="J103" i="13"/>
  <c r="AH103" i="13" s="1"/>
  <c r="Q57" i="32"/>
  <c r="Q58" i="32" s="1"/>
  <c r="Q59" i="32" s="1"/>
  <c r="R57" i="32"/>
  <c r="R58" i="32" s="1"/>
  <c r="R59" i="32" s="1"/>
  <c r="P57" i="32"/>
  <c r="P58" i="32" s="1"/>
  <c r="I102" i="13"/>
  <c r="AG102" i="13" s="1"/>
  <c r="O109" i="13"/>
  <c r="AX106" i="13"/>
  <c r="AX109" i="13" s="1"/>
  <c r="Q46" i="13"/>
  <c r="Q47" i="13"/>
  <c r="Q45" i="13"/>
  <c r="F15" i="29"/>
  <c r="C15" i="29"/>
  <c r="E15" i="29"/>
  <c r="D15" i="29"/>
  <c r="AN55" i="32"/>
  <c r="AL55" i="32"/>
  <c r="AO86" i="13"/>
  <c r="AO88" i="13"/>
  <c r="Q106" i="13"/>
  <c r="R86" i="13"/>
  <c r="AG56" i="32"/>
  <c r="AG48" i="32"/>
  <c r="AM95" i="13"/>
  <c r="P42" i="13"/>
  <c r="Q43" i="13"/>
  <c r="AH18" i="32"/>
  <c r="AY46" i="13"/>
  <c r="K56" i="32"/>
  <c r="K48" i="32"/>
  <c r="AN45" i="13"/>
  <c r="AB45" i="13"/>
  <c r="AZ45" i="13" s="1"/>
  <c r="AN44" i="13"/>
  <c r="AZ44" i="13"/>
  <c r="AM42" i="13"/>
  <c r="AM48" i="13" s="1"/>
  <c r="AA42" i="13"/>
  <c r="O48" i="13"/>
  <c r="AL99" i="13"/>
  <c r="U48" i="32"/>
  <c r="V56" i="32"/>
  <c r="AC83" i="13"/>
  <c r="AC86" i="13" s="1"/>
  <c r="AN108" i="13"/>
  <c r="J56" i="32"/>
  <c r="J48" i="32"/>
  <c r="AL53" i="13"/>
  <c r="AL55" i="13" s="1"/>
  <c r="AL61" i="13" s="1"/>
  <c r="AY106" i="13"/>
  <c r="AA93" i="13"/>
  <c r="AY87" i="13"/>
  <c r="AC52" i="13"/>
  <c r="BA52" i="13"/>
  <c r="AN47" i="13"/>
  <c r="AB47" i="13"/>
  <c r="AZ47" i="13" s="1"/>
  <c r="AL94" i="13"/>
  <c r="AN43" i="13"/>
  <c r="AB43" i="13"/>
  <c r="AZ43" i="13" s="1"/>
  <c r="M28" i="32"/>
  <c r="AM109" i="13"/>
  <c r="AN87" i="13"/>
  <c r="N53" i="13"/>
  <c r="N55" i="13" s="1"/>
  <c r="N61" i="13" s="1"/>
  <c r="AA108" i="13"/>
  <c r="AN46" i="13"/>
  <c r="AB46" i="13"/>
  <c r="K18" i="32"/>
  <c r="V18" i="32"/>
  <c r="AQ56" i="32"/>
  <c r="AQ48" i="32"/>
  <c r="AX95" i="13"/>
  <c r="AF52" i="32"/>
  <c r="AZ86" i="13"/>
  <c r="AB88" i="13"/>
  <c r="AZ88" i="13" s="1"/>
  <c r="AB87" i="13"/>
  <c r="AB108" i="13" s="1"/>
  <c r="AZ108" i="13" s="1"/>
  <c r="P109" i="13"/>
  <c r="AN106" i="13"/>
  <c r="AN88" i="13"/>
  <c r="AX42" i="13"/>
  <c r="AX48" i="13" s="1"/>
  <c r="Z48" i="13"/>
  <c r="AO38" i="13"/>
  <c r="AI17" i="32"/>
  <c r="AI27" i="32"/>
  <c r="AI28" i="32" s="1"/>
  <c r="AI25" i="32"/>
  <c r="AQ52" i="32"/>
  <c r="AY88" i="13"/>
  <c r="AW99" i="13"/>
  <c r="V103" i="13"/>
  <c r="AC54" i="32"/>
  <c r="AC55" i="32" s="1"/>
  <c r="AC57" i="32" s="1"/>
  <c r="G55" i="32"/>
  <c r="G49" i="32"/>
  <c r="AM58" i="32"/>
  <c r="AM59" i="32" s="1"/>
  <c r="X99" i="13"/>
  <c r="X101" i="13"/>
  <c r="AV101" i="13" s="1"/>
  <c r="X100" i="13"/>
  <c r="AV100" i="13" s="1"/>
  <c r="S54" i="32"/>
  <c r="W95" i="13"/>
  <c r="AN49" i="32"/>
  <c r="T53" i="32"/>
  <c r="AP53" i="32" s="1"/>
  <c r="T52" i="32"/>
  <c r="AE54" i="32"/>
  <c r="AE55" i="32" s="1"/>
  <c r="AE57" i="32" s="1"/>
  <c r="I55" i="32"/>
  <c r="AJ100" i="13"/>
  <c r="AJ99" i="13"/>
  <c r="AH102" i="13"/>
  <c r="T48" i="32"/>
  <c r="AW94" i="13"/>
  <c r="W103" i="13"/>
  <c r="AD52" i="32"/>
  <c r="H55" i="32"/>
  <c r="AI103" i="13"/>
  <c r="AK55" i="32"/>
  <c r="B16" i="29"/>
  <c r="V104" i="13" l="1"/>
  <c r="AT104" i="13" s="1"/>
  <c r="V102" i="13"/>
  <c r="AH105" i="13"/>
  <c r="AH113" i="13" s="1"/>
  <c r="W104" i="13"/>
  <c r="AU104" i="13" s="1"/>
  <c r="J105" i="13"/>
  <c r="J113" i="13" s="1"/>
  <c r="J116" i="13" s="1"/>
  <c r="U104" i="13"/>
  <c r="U103" i="13"/>
  <c r="P59" i="32"/>
  <c r="U102" i="13"/>
  <c r="AS102" i="13" s="1"/>
  <c r="H57" i="32"/>
  <c r="H58" i="32" s="1"/>
  <c r="H59" i="32" s="1"/>
  <c r="I57" i="32"/>
  <c r="I58" i="32" s="1"/>
  <c r="I59" i="32" s="1"/>
  <c r="G57" i="32"/>
  <c r="G58" i="32" s="1"/>
  <c r="G59" i="32" s="1"/>
  <c r="AL58" i="32"/>
  <c r="AL59" i="32" s="1"/>
  <c r="AL57" i="32"/>
  <c r="AK58" i="32"/>
  <c r="AK59" i="32" s="1"/>
  <c r="AK57" i="32"/>
  <c r="AN58" i="32"/>
  <c r="AN59" i="32" s="1"/>
  <c r="AN57" i="32"/>
  <c r="Q108" i="13"/>
  <c r="AO108" i="13" s="1"/>
  <c r="AP108" i="13" s="1"/>
  <c r="D16" i="29"/>
  <c r="E16" i="29"/>
  <c r="F16" i="29"/>
  <c r="C16" i="29"/>
  <c r="AD55" i="32"/>
  <c r="AD57" i="32" s="1"/>
  <c r="AP88" i="13"/>
  <c r="J38" i="32"/>
  <c r="AF38" i="32"/>
  <c r="R88" i="13"/>
  <c r="AN109" i="13"/>
  <c r="AT103" i="13"/>
  <c r="AC88" i="13"/>
  <c r="AC87" i="13"/>
  <c r="AC108" i="13" s="1"/>
  <c r="BA86" i="13"/>
  <c r="BB86" i="13" s="1"/>
  <c r="AD86" i="13"/>
  <c r="Q42" i="13"/>
  <c r="AI18" i="32"/>
  <c r="AY108" i="13"/>
  <c r="AY109" i="13" s="1"/>
  <c r="AO46" i="13"/>
  <c r="AC46" i="13"/>
  <c r="AL95" i="13"/>
  <c r="AF56" i="32"/>
  <c r="AF48" i="32"/>
  <c r="AA94" i="13"/>
  <c r="AA109" i="13"/>
  <c r="AY42" i="13"/>
  <c r="AY48" i="13" s="1"/>
  <c r="AA48" i="13"/>
  <c r="AO44" i="13"/>
  <c r="BA44" i="13"/>
  <c r="AO106" i="13"/>
  <c r="AP86" i="13"/>
  <c r="AZ87" i="13"/>
  <c r="AB93" i="13"/>
  <c r="AB94" i="13" s="1"/>
  <c r="Z95" i="13"/>
  <c r="U49" i="32" s="1"/>
  <c r="AA99" i="13"/>
  <c r="AA100" i="13"/>
  <c r="AY100" i="13" s="1"/>
  <c r="AA101" i="13"/>
  <c r="AY101" i="13" s="1"/>
  <c r="AQ49" i="32"/>
  <c r="W53" i="32"/>
  <c r="AS53" i="32" s="1"/>
  <c r="W52" i="32"/>
  <c r="AO45" i="13"/>
  <c r="AC45" i="13"/>
  <c r="BA45" i="13" s="1"/>
  <c r="AM53" i="13"/>
  <c r="AM55" i="13" s="1"/>
  <c r="AM61" i="13" s="1"/>
  <c r="AN42" i="13"/>
  <c r="AN48" i="13" s="1"/>
  <c r="AB42" i="13"/>
  <c r="P48" i="13"/>
  <c r="R106" i="13"/>
  <c r="AO87" i="13"/>
  <c r="AO93" i="13" s="1"/>
  <c r="AO94" i="13" s="1"/>
  <c r="R87" i="13"/>
  <c r="N104" i="13"/>
  <c r="AL104" i="13" s="1"/>
  <c r="N103" i="13"/>
  <c r="AB106" i="13"/>
  <c r="AZ46" i="13"/>
  <c r="AN93" i="13"/>
  <c r="AO47" i="13"/>
  <c r="AC47" i="13"/>
  <c r="BA47" i="13" s="1"/>
  <c r="AY93" i="13"/>
  <c r="O53" i="13"/>
  <c r="O55" i="13" s="1"/>
  <c r="O61" i="13" s="1"/>
  <c r="AO43" i="13"/>
  <c r="AC43" i="13"/>
  <c r="BA43" i="13" s="1"/>
  <c r="L18" i="32"/>
  <c r="W18" i="32"/>
  <c r="K49" i="32"/>
  <c r="P99" i="13"/>
  <c r="P100" i="13"/>
  <c r="AN100" i="13" s="1"/>
  <c r="P101" i="13"/>
  <c r="AN101" i="13" s="1"/>
  <c r="K54" i="32"/>
  <c r="AG54" i="32" s="1"/>
  <c r="L53" i="32"/>
  <c r="AH53" i="32" s="1"/>
  <c r="AG49" i="32"/>
  <c r="L52" i="32"/>
  <c r="AH116" i="13"/>
  <c r="J110" i="13"/>
  <c r="AT102" i="13"/>
  <c r="V105" i="13"/>
  <c r="V113" i="13" s="1"/>
  <c r="M102" i="13"/>
  <c r="AO54" i="32"/>
  <c r="AO55" i="32" s="1"/>
  <c r="AO57" i="32" s="1"/>
  <c r="S55" i="32"/>
  <c r="AV99" i="13"/>
  <c r="AC58" i="32"/>
  <c r="AC59" i="32" s="1"/>
  <c r="L102" i="13"/>
  <c r="M104" i="13"/>
  <c r="AK104" i="13" s="1"/>
  <c r="M103" i="13"/>
  <c r="AU103" i="13"/>
  <c r="AE58" i="32"/>
  <c r="AE59" i="32" s="1"/>
  <c r="AW95" i="13"/>
  <c r="AP56" i="32"/>
  <c r="AP48" i="32"/>
  <c r="T55" i="32"/>
  <c r="AP52" i="32"/>
  <c r="R49" i="32"/>
  <c r="K102" i="13"/>
  <c r="L21" i="31"/>
  <c r="N21" i="31"/>
  <c r="B17" i="29"/>
  <c r="D8" i="13"/>
  <c r="L104" i="13" l="1"/>
  <c r="AJ104" i="13" s="1"/>
  <c r="AD58" i="32"/>
  <c r="AD59" i="32" s="1"/>
  <c r="L103" i="13"/>
  <c r="AJ103" i="13" s="1"/>
  <c r="AH110" i="13"/>
  <c r="U105" i="13"/>
  <c r="U113" i="13" s="1"/>
  <c r="T57" i="32"/>
  <c r="T58" i="32" s="1"/>
  <c r="T59" i="32" s="1"/>
  <c r="S57" i="32"/>
  <c r="S58" i="32" s="1"/>
  <c r="S59" i="32" s="1"/>
  <c r="U110" i="13"/>
  <c r="R108" i="13"/>
  <c r="AO109" i="13"/>
  <c r="AP109" i="13" s="1"/>
  <c r="K48" i="30" s="1"/>
  <c r="Q109" i="13"/>
  <c r="R109" i="13" s="1"/>
  <c r="E17" i="29"/>
  <c r="F17" i="29"/>
  <c r="D17" i="29"/>
  <c r="C17" i="29"/>
  <c r="AP55" i="32"/>
  <c r="AG38" i="32"/>
  <c r="AQ38" i="32"/>
  <c r="K38" i="32"/>
  <c r="U38" i="32"/>
  <c r="AD87" i="13"/>
  <c r="BA108" i="13"/>
  <c r="BB108" i="13" s="1"/>
  <c r="AD108" i="13"/>
  <c r="AC106" i="13"/>
  <c r="AD106" i="13" s="1"/>
  <c r="AT105" i="13"/>
  <c r="AP87" i="13"/>
  <c r="AI48" i="32"/>
  <c r="AI56" i="32"/>
  <c r="AO95" i="13"/>
  <c r="AY94" i="13"/>
  <c r="P53" i="13"/>
  <c r="P55" i="13" s="1"/>
  <c r="P61" i="13" s="1"/>
  <c r="AS52" i="32"/>
  <c r="AY99" i="13"/>
  <c r="AY53" i="13"/>
  <c r="AY55" i="13" s="1"/>
  <c r="V48" i="32"/>
  <c r="W56" i="32"/>
  <c r="M18" i="32"/>
  <c r="X18" i="32"/>
  <c r="Z99" i="13"/>
  <c r="Z101" i="13"/>
  <c r="AX101" i="13" s="1"/>
  <c r="Z100" i="13"/>
  <c r="AX100" i="13" s="1"/>
  <c r="U54" i="32"/>
  <c r="V53" i="32"/>
  <c r="AR53" i="32" s="1"/>
  <c r="V52" i="32"/>
  <c r="AH52" i="32"/>
  <c r="AN99" i="13"/>
  <c r="AN94" i="13"/>
  <c r="AP93" i="13"/>
  <c r="AB109" i="13"/>
  <c r="AZ106" i="13"/>
  <c r="AL103" i="13"/>
  <c r="M56" i="32"/>
  <c r="M48" i="32"/>
  <c r="AZ42" i="13"/>
  <c r="AZ48" i="13" s="1"/>
  <c r="AB48" i="13"/>
  <c r="R93" i="13"/>
  <c r="W48" i="32"/>
  <c r="X56" i="32"/>
  <c r="AP106" i="13"/>
  <c r="AO42" i="13"/>
  <c r="AO48" i="13" s="1"/>
  <c r="AC42" i="13"/>
  <c r="Q48" i="13"/>
  <c r="AC93" i="13"/>
  <c r="BA87" i="13"/>
  <c r="BB87" i="13" s="1"/>
  <c r="AN53" i="13"/>
  <c r="AN55" i="13" s="1"/>
  <c r="AN61" i="13" s="1"/>
  <c r="L56" i="32"/>
  <c r="L48" i="32"/>
  <c r="R94" i="13"/>
  <c r="V54" i="32"/>
  <c r="AR54" i="32" s="1"/>
  <c r="AZ93" i="13"/>
  <c r="AZ94" i="13" s="1"/>
  <c r="AA53" i="13"/>
  <c r="AA55" i="13" s="1"/>
  <c r="AA61" i="13" s="1"/>
  <c r="O99" i="13"/>
  <c r="O100" i="13"/>
  <c r="J54" i="32"/>
  <c r="O101" i="13"/>
  <c r="AM101" i="13" s="1"/>
  <c r="AF49" i="32"/>
  <c r="K52" i="32"/>
  <c r="K53" i="32"/>
  <c r="AG53" i="32" s="1"/>
  <c r="BA46" i="13"/>
  <c r="BA88" i="13"/>
  <c r="BB88" i="13" s="1"/>
  <c r="AD88" i="13"/>
  <c r="V116" i="13"/>
  <c r="V119" i="13" s="1"/>
  <c r="V110" i="13"/>
  <c r="K105" i="13"/>
  <c r="K113" i="13" s="1"/>
  <c r="AI102" i="13"/>
  <c r="AI105" i="13" s="1"/>
  <c r="AI113" i="13" s="1"/>
  <c r="Y95" i="13"/>
  <c r="AP49" i="32"/>
  <c r="AJ102" i="13"/>
  <c r="W102" i="13"/>
  <c r="X104" i="13"/>
  <c r="AV104" i="13" s="1"/>
  <c r="X103" i="13"/>
  <c r="M105" i="13"/>
  <c r="M113" i="13" s="1"/>
  <c r="AK102" i="13"/>
  <c r="AK103" i="13"/>
  <c r="AO58" i="32"/>
  <c r="AO59" i="32" s="1"/>
  <c r="B18" i="29"/>
  <c r="D12" i="13"/>
  <c r="AF23" i="13"/>
  <c r="Y104" i="13" l="1"/>
  <c r="AW104" i="13" s="1"/>
  <c r="X102" i="13"/>
  <c r="AV102" i="13" s="1"/>
  <c r="L105" i="13"/>
  <c r="L113" i="13" s="1"/>
  <c r="Y103" i="13"/>
  <c r="AP58" i="32"/>
  <c r="AP59" i="32" s="1"/>
  <c r="AP57" i="32"/>
  <c r="AT110" i="13"/>
  <c r="AT113" i="13"/>
  <c r="AT116" i="13" s="1"/>
  <c r="T29" i="13"/>
  <c r="T49" i="13" s="1"/>
  <c r="U29" i="13"/>
  <c r="U49" i="13" s="1"/>
  <c r="AS49" i="13" s="1"/>
  <c r="AA58" i="13"/>
  <c r="AH38" i="32"/>
  <c r="L38" i="32"/>
  <c r="F18" i="29"/>
  <c r="C18" i="29"/>
  <c r="D18" i="29"/>
  <c r="E18" i="29"/>
  <c r="BA106" i="13"/>
  <c r="BA109" i="13" s="1"/>
  <c r="AC109" i="13"/>
  <c r="AD109" i="13" s="1"/>
  <c r="AM100" i="13"/>
  <c r="AO53" i="13"/>
  <c r="AO55" i="13" s="1"/>
  <c r="AO61" i="13" s="1"/>
  <c r="AB53" i="13"/>
  <c r="AB55" i="13" s="1"/>
  <c r="AB61" i="13" s="1"/>
  <c r="AR52" i="32"/>
  <c r="V55" i="32"/>
  <c r="AR48" i="32"/>
  <c r="AR56" i="32"/>
  <c r="AY95" i="13"/>
  <c r="AM99" i="13"/>
  <c r="AZ53" i="13"/>
  <c r="AZ55" i="13" s="1"/>
  <c r="BA93" i="13"/>
  <c r="BA94" i="13" s="1"/>
  <c r="BB94" i="13" s="1"/>
  <c r="Q53" i="13"/>
  <c r="Q55" i="13" s="1"/>
  <c r="Q61" i="13" s="1"/>
  <c r="AZ109" i="13"/>
  <c r="AN95" i="13"/>
  <c r="AH48" i="32"/>
  <c r="AH56" i="32"/>
  <c r="AP94" i="13"/>
  <c r="K44" i="30" s="1"/>
  <c r="AG52" i="32"/>
  <c r="K55" i="32"/>
  <c r="K57" i="32" s="1"/>
  <c r="AF54" i="32"/>
  <c r="AF55" i="32" s="1"/>
  <c r="AF57" i="32" s="1"/>
  <c r="J55" i="32"/>
  <c r="J57" i="32" s="1"/>
  <c r="J49" i="32"/>
  <c r="AS48" i="32"/>
  <c r="AZ95" i="13"/>
  <c r="AS56" i="32"/>
  <c r="AD93" i="13"/>
  <c r="AC94" i="13"/>
  <c r="BA42" i="13"/>
  <c r="BA48" i="13" s="1"/>
  <c r="AC48" i="13"/>
  <c r="AQ54" i="32"/>
  <c r="AQ55" i="32" s="1"/>
  <c r="AQ57" i="32" s="1"/>
  <c r="U55" i="32"/>
  <c r="U57" i="32" s="1"/>
  <c r="AX99" i="13"/>
  <c r="AY61" i="13"/>
  <c r="AY58" i="13"/>
  <c r="M49" i="32"/>
  <c r="M54" i="32"/>
  <c r="AI54" i="32" s="1"/>
  <c r="AI49" i="32"/>
  <c r="M116" i="13"/>
  <c r="M110" i="13"/>
  <c r="AJ105" i="13"/>
  <c r="AJ113" i="13" s="1"/>
  <c r="L116" i="13"/>
  <c r="AI116" i="13"/>
  <c r="AI110" i="13"/>
  <c r="K116" i="13"/>
  <c r="K110" i="13"/>
  <c r="W105" i="13"/>
  <c r="W113" i="13" s="1"/>
  <c r="AU102" i="13"/>
  <c r="AU105" i="13" s="1"/>
  <c r="AU113" i="13" s="1"/>
  <c r="AW103" i="13"/>
  <c r="AV103" i="13"/>
  <c r="T49" i="32"/>
  <c r="AK105" i="13"/>
  <c r="AK113" i="13" s="1"/>
  <c r="AF34" i="13"/>
  <c r="I25" i="32"/>
  <c r="B19" i="29"/>
  <c r="B3" i="13"/>
  <c r="L110" i="13" l="1"/>
  <c r="X105" i="13"/>
  <c r="X113" i="13" s="1"/>
  <c r="AR49" i="13"/>
  <c r="AD49" i="13"/>
  <c r="BB49" i="13" s="1"/>
  <c r="V57" i="32"/>
  <c r="V58" i="32" s="1"/>
  <c r="V59" i="32" s="1"/>
  <c r="AS29" i="13"/>
  <c r="AS31" i="13"/>
  <c r="AT119" i="13"/>
  <c r="AB58" i="13"/>
  <c r="M38" i="32"/>
  <c r="AI38" i="32"/>
  <c r="D19" i="29"/>
  <c r="F19" i="29"/>
  <c r="C19" i="29"/>
  <c r="E19" i="29"/>
  <c r="AG55" i="32"/>
  <c r="AG57" i="32" s="1"/>
  <c r="AR55" i="32"/>
  <c r="BB93" i="13"/>
  <c r="BB106" i="13"/>
  <c r="V38" i="32"/>
  <c r="AR38" i="32"/>
  <c r="BB109" i="13"/>
  <c r="L48" i="30" s="1"/>
  <c r="BA53" i="13"/>
  <c r="BA55" i="13" s="1"/>
  <c r="Z51" i="13"/>
  <c r="AB95" i="13"/>
  <c r="W49" i="32" s="1"/>
  <c r="AC99" i="13"/>
  <c r="AC101" i="13"/>
  <c r="BA101" i="13" s="1"/>
  <c r="AC100" i="13"/>
  <c r="BA100" i="13" s="1"/>
  <c r="AS49" i="32"/>
  <c r="X54" i="32"/>
  <c r="AT54" i="32" s="1"/>
  <c r="J58" i="32"/>
  <c r="AG58" i="32"/>
  <c r="AG59" i="32" s="1"/>
  <c r="L44" i="30"/>
  <c r="U58" i="32"/>
  <c r="X48" i="32"/>
  <c r="AD94" i="13"/>
  <c r="AF58" i="32"/>
  <c r="AF59" i="32" s="1"/>
  <c r="Q99" i="13"/>
  <c r="Q101" i="13"/>
  <c r="AO101" i="13" s="1"/>
  <c r="Q100" i="13"/>
  <c r="L54" i="32"/>
  <c r="AH49" i="32"/>
  <c r="M52" i="32"/>
  <c r="M53" i="32"/>
  <c r="AI53" i="32" s="1"/>
  <c r="AP95" i="13"/>
  <c r="AZ61" i="13"/>
  <c r="AZ58" i="13"/>
  <c r="Z102" i="13"/>
  <c r="AA104" i="13"/>
  <c r="AY104" i="13" s="1"/>
  <c r="AA103" i="13"/>
  <c r="AQ58" i="32"/>
  <c r="AQ59" i="32" s="1"/>
  <c r="AC53" i="13"/>
  <c r="AC55" i="13" s="1"/>
  <c r="AC61" i="13" s="1"/>
  <c r="K58" i="32"/>
  <c r="AT48" i="32"/>
  <c r="BA95" i="13"/>
  <c r="BB95" i="13" s="1"/>
  <c r="AT56" i="32"/>
  <c r="AA95" i="13"/>
  <c r="AB99" i="13"/>
  <c r="AB100" i="13"/>
  <c r="AZ100" i="13" s="1"/>
  <c r="AB101" i="13"/>
  <c r="AZ101" i="13" s="1"/>
  <c r="AR49" i="32"/>
  <c r="W54" i="32"/>
  <c r="X52" i="32"/>
  <c r="X53" i="32"/>
  <c r="AT53" i="32" s="1"/>
  <c r="X116" i="13"/>
  <c r="X119" i="13" s="1"/>
  <c r="X110" i="13"/>
  <c r="AU116" i="13"/>
  <c r="AU119" i="13" s="1"/>
  <c r="AU110" i="13"/>
  <c r="W116" i="13"/>
  <c r="W119" i="13" s="1"/>
  <c r="W110" i="13"/>
  <c r="AJ116" i="13"/>
  <c r="AJ110" i="13"/>
  <c r="AK116" i="13"/>
  <c r="AK110" i="13"/>
  <c r="AV105" i="13"/>
  <c r="AV113" i="13" s="1"/>
  <c r="X51" i="13"/>
  <c r="AV51" i="13" s="1"/>
  <c r="Y51" i="13"/>
  <c r="AW51" i="13" s="1"/>
  <c r="W51" i="13"/>
  <c r="AU51" i="13" s="1"/>
  <c r="I17" i="32"/>
  <c r="G17" i="32"/>
  <c r="G25" i="32"/>
  <c r="M42" i="13"/>
  <c r="H51" i="13"/>
  <c r="B20" i="29"/>
  <c r="AD29" i="13"/>
  <c r="AD32" i="13"/>
  <c r="AF32" i="13"/>
  <c r="AP32" i="13" s="1"/>
  <c r="AR58" i="32" l="1"/>
  <c r="AR59" i="32" s="1"/>
  <c r="AR57" i="32"/>
  <c r="AS30" i="13"/>
  <c r="U36" i="13"/>
  <c r="U37" i="13" s="1"/>
  <c r="AC58" i="13"/>
  <c r="T36" i="13"/>
  <c r="T37" i="13" s="1"/>
  <c r="U51" i="13"/>
  <c r="AR30" i="13"/>
  <c r="T51" i="13"/>
  <c r="AS38" i="32"/>
  <c r="W38" i="32"/>
  <c r="E20" i="29"/>
  <c r="C20" i="29"/>
  <c r="D20" i="29"/>
  <c r="F20" i="29"/>
  <c r="AS54" i="32"/>
  <c r="AS55" i="32" s="1"/>
  <c r="AS57" i="32" s="1"/>
  <c r="W55" i="32"/>
  <c r="W57" i="32" s="1"/>
  <c r="K59" i="32"/>
  <c r="O102" i="13"/>
  <c r="P104" i="13"/>
  <c r="AN104" i="13" s="1"/>
  <c r="P103" i="13"/>
  <c r="AY103" i="13"/>
  <c r="AH54" i="32"/>
  <c r="AH55" i="32" s="1"/>
  <c r="AH57" i="32" s="1"/>
  <c r="L55" i="32"/>
  <c r="L57" i="32" s="1"/>
  <c r="AO99" i="13"/>
  <c r="J59" i="32"/>
  <c r="N102" i="13"/>
  <c r="O103" i="13"/>
  <c r="O104" i="13"/>
  <c r="AM104" i="13" s="1"/>
  <c r="AZ99" i="13"/>
  <c r="AI52" i="32"/>
  <c r="M55" i="32"/>
  <c r="M57" i="32" s="1"/>
  <c r="AO100" i="13"/>
  <c r="R100" i="13"/>
  <c r="L49" i="32"/>
  <c r="R95" i="13"/>
  <c r="Z103" i="13"/>
  <c r="Z104" i="13"/>
  <c r="AX104" i="13" s="1"/>
  <c r="U59" i="32"/>
  <c r="Y102" i="13"/>
  <c r="BA61" i="13"/>
  <c r="BA58" i="13"/>
  <c r="AT52" i="32"/>
  <c r="X55" i="32"/>
  <c r="V49" i="32"/>
  <c r="AC95" i="13"/>
  <c r="X49" i="32" s="1"/>
  <c r="AT49" i="32"/>
  <c r="AX102" i="13"/>
  <c r="BA99" i="13"/>
  <c r="AX51" i="13"/>
  <c r="AX52" i="13" s="1"/>
  <c r="Z52" i="13"/>
  <c r="AV116" i="13"/>
  <c r="AV119" i="13" s="1"/>
  <c r="AV110" i="13"/>
  <c r="AR31" i="13"/>
  <c r="Y42" i="13"/>
  <c r="AK42" i="13"/>
  <c r="K42" i="13"/>
  <c r="AC17" i="32"/>
  <c r="AC25" i="32"/>
  <c r="AE17" i="32"/>
  <c r="AE25" i="32"/>
  <c r="H36" i="13"/>
  <c r="I36" i="13"/>
  <c r="AG51" i="13"/>
  <c r="B21" i="29"/>
  <c r="BB32" i="13"/>
  <c r="AF31" i="13"/>
  <c r="AF29" i="13"/>
  <c r="AP29" i="13" s="1"/>
  <c r="AF30" i="13"/>
  <c r="X57" i="32" l="1"/>
  <c r="X58" i="32" s="1"/>
  <c r="X59" i="32" s="1"/>
  <c r="R17" i="32"/>
  <c r="R36" i="13"/>
  <c r="AT38" i="32"/>
  <c r="X38" i="32"/>
  <c r="F21" i="29"/>
  <c r="C21" i="29"/>
  <c r="E21" i="29"/>
  <c r="D21" i="29"/>
  <c r="AT55" i="32"/>
  <c r="AI55" i="32"/>
  <c r="AD95" i="13"/>
  <c r="AW102" i="13"/>
  <c r="AW105" i="13" s="1"/>
  <c r="AW113" i="13" s="1"/>
  <c r="Y105" i="13"/>
  <c r="Y113" i="13" s="1"/>
  <c r="L58" i="32"/>
  <c r="Z53" i="13"/>
  <c r="Z55" i="13" s="1"/>
  <c r="Z61" i="13" s="1"/>
  <c r="AX103" i="13"/>
  <c r="AX53" i="13"/>
  <c r="AX55" i="13" s="1"/>
  <c r="AM103" i="13"/>
  <c r="AH58" i="32"/>
  <c r="AH59" i="32" s="1"/>
  <c r="AM102" i="13"/>
  <c r="O105" i="13"/>
  <c r="O113" i="13" s="1"/>
  <c r="W58" i="32"/>
  <c r="Z105" i="13"/>
  <c r="Z113" i="13" s="1"/>
  <c r="AB102" i="13"/>
  <c r="AC103" i="13"/>
  <c r="AC104" i="13"/>
  <c r="BA104" i="13" s="1"/>
  <c r="M58" i="32"/>
  <c r="AL102" i="13"/>
  <c r="AL105" i="13" s="1"/>
  <c r="AL113" i="13" s="1"/>
  <c r="N105" i="13"/>
  <c r="N113" i="13" s="1"/>
  <c r="AN103" i="13"/>
  <c r="AS58" i="32"/>
  <c r="AS59" i="32" s="1"/>
  <c r="X43" i="13"/>
  <c r="AV43" i="13" s="1"/>
  <c r="AJ43" i="13"/>
  <c r="R25" i="32"/>
  <c r="AJ44" i="13"/>
  <c r="V51" i="13"/>
  <c r="AT51" i="13" s="1"/>
  <c r="W42" i="13"/>
  <c r="AI42" i="13"/>
  <c r="AP25" i="32"/>
  <c r="AP18" i="32"/>
  <c r="AP17" i="32"/>
  <c r="AC18" i="32"/>
  <c r="AN18" i="32"/>
  <c r="T25" i="32"/>
  <c r="T17" i="32"/>
  <c r="AP31" i="13"/>
  <c r="AE18" i="32"/>
  <c r="AD30" i="13"/>
  <c r="AD31" i="13"/>
  <c r="AP30" i="13"/>
  <c r="R51" i="13"/>
  <c r="AS51" i="13"/>
  <c r="AN17" i="32"/>
  <c r="AN25" i="32"/>
  <c r="B22" i="29"/>
  <c r="AF51" i="13"/>
  <c r="AP51" i="13" s="1"/>
  <c r="AD34" i="13"/>
  <c r="AP34" i="13"/>
  <c r="BB31" i="13"/>
  <c r="AF36" i="13"/>
  <c r="AI58" i="32" l="1"/>
  <c r="AI59" i="32" s="1"/>
  <c r="AI57" i="32"/>
  <c r="AT58" i="32"/>
  <c r="AT59" i="32" s="1"/>
  <c r="AT57" i="32"/>
  <c r="Z58" i="13"/>
  <c r="D22" i="29"/>
  <c r="E22" i="29"/>
  <c r="F22" i="29"/>
  <c r="C22" i="29"/>
  <c r="AM105" i="13"/>
  <c r="AX105" i="13"/>
  <c r="N110" i="13"/>
  <c r="N116" i="13"/>
  <c r="BA103" i="13"/>
  <c r="AC105" i="13"/>
  <c r="AC113" i="13" s="1"/>
  <c r="Z116" i="13"/>
  <c r="Z110" i="13"/>
  <c r="W59" i="32"/>
  <c r="AA102" i="13"/>
  <c r="AB104" i="13"/>
  <c r="AZ104" i="13" s="1"/>
  <c r="AB103" i="13"/>
  <c r="Y116" i="13"/>
  <c r="Y119" i="13" s="1"/>
  <c r="Y110" i="13"/>
  <c r="AL116" i="13"/>
  <c r="AL110" i="13"/>
  <c r="M59" i="32"/>
  <c r="Q102" i="13"/>
  <c r="AZ102" i="13"/>
  <c r="O116" i="13"/>
  <c r="O110" i="13"/>
  <c r="AW116" i="13"/>
  <c r="AW110" i="13"/>
  <c r="AX61" i="13"/>
  <c r="AX58" i="13"/>
  <c r="L59" i="32"/>
  <c r="P102" i="13"/>
  <c r="Q103" i="13"/>
  <c r="Q104" i="13"/>
  <c r="AO104" i="13" s="1"/>
  <c r="J42" i="13"/>
  <c r="I42" i="13"/>
  <c r="U42" i="13" s="1"/>
  <c r="G18" i="32"/>
  <c r="R18" i="32"/>
  <c r="AW42" i="13"/>
  <c r="I18" i="32"/>
  <c r="T18" i="32"/>
  <c r="F25" i="32"/>
  <c r="F17" i="32"/>
  <c r="BB30" i="13"/>
  <c r="AA17" i="32"/>
  <c r="AA25" i="32"/>
  <c r="AB17" i="32"/>
  <c r="AB25" i="32"/>
  <c r="B23" i="29"/>
  <c r="AB18" i="32"/>
  <c r="AR36" i="13"/>
  <c r="BB34" i="13"/>
  <c r="AF37" i="13"/>
  <c r="H37" i="13"/>
  <c r="AM113" i="13" l="1"/>
  <c r="AM116" i="13" s="1"/>
  <c r="AX113" i="13"/>
  <c r="AX116" i="13" s="1"/>
  <c r="AM110" i="13"/>
  <c r="AG42" i="13"/>
  <c r="AF38" i="13"/>
  <c r="H23" i="32" s="1"/>
  <c r="S23" i="32" s="1"/>
  <c r="E23" i="29"/>
  <c r="F23" i="29"/>
  <c r="D23" i="29"/>
  <c r="C23" i="29"/>
  <c r="Z119" i="13"/>
  <c r="AX110" i="13"/>
  <c r="AB105" i="13"/>
  <c r="AO103" i="13"/>
  <c r="BA105" i="13"/>
  <c r="BA113" i="13" s="1"/>
  <c r="AN102" i="13"/>
  <c r="AN105" i="13" s="1"/>
  <c r="AN113" i="13" s="1"/>
  <c r="P105" i="13"/>
  <c r="P113" i="13" s="1"/>
  <c r="AW119" i="13"/>
  <c r="AY102" i="13"/>
  <c r="AY105" i="13" s="1"/>
  <c r="AY113" i="13" s="1"/>
  <c r="AA105" i="13"/>
  <c r="AA113" i="13" s="1"/>
  <c r="AO102" i="13"/>
  <c r="Q105" i="13"/>
  <c r="Q113" i="13" s="1"/>
  <c r="AZ103" i="13"/>
  <c r="AC110" i="13"/>
  <c r="AC116" i="13"/>
  <c r="AI44" i="13"/>
  <c r="V42" i="13"/>
  <c r="AH42" i="13"/>
  <c r="V43" i="13"/>
  <c r="AT43" i="13" s="1"/>
  <c r="AH43" i="13"/>
  <c r="AH44" i="13"/>
  <c r="W43" i="13"/>
  <c r="AU43" i="13" s="1"/>
  <c r="AI43" i="13"/>
  <c r="L42" i="13"/>
  <c r="AA18" i="32"/>
  <c r="I38" i="13"/>
  <c r="I44" i="13" s="1"/>
  <c r="H25" i="32"/>
  <c r="H17" i="32"/>
  <c r="Q17" i="32"/>
  <c r="Q25" i="32"/>
  <c r="Z25" i="32"/>
  <c r="Z17" i="32"/>
  <c r="F20" i="31" s="1"/>
  <c r="AD25" i="32"/>
  <c r="AD17" i="32"/>
  <c r="AM25" i="32"/>
  <c r="AM17" i="32"/>
  <c r="D25" i="32"/>
  <c r="D17" i="32"/>
  <c r="D20" i="31" s="1"/>
  <c r="B24" i="29"/>
  <c r="BB33" i="13"/>
  <c r="AD33" i="13"/>
  <c r="AP33" i="13"/>
  <c r="AP37" i="13"/>
  <c r="AP36" i="13"/>
  <c r="F18" i="32"/>
  <c r="AM18" i="32"/>
  <c r="AD18" i="32"/>
  <c r="K52" i="13"/>
  <c r="J52" i="13"/>
  <c r="I52" i="13"/>
  <c r="L52" i="13"/>
  <c r="H21" i="32" l="1"/>
  <c r="F22" i="32"/>
  <c r="Q22" i="32" s="1"/>
  <c r="H43" i="13"/>
  <c r="T43" i="13" s="1"/>
  <c r="H42" i="13"/>
  <c r="I23" i="32"/>
  <c r="T23" i="32" s="1"/>
  <c r="F21" i="32"/>
  <c r="Q21" i="32" s="1"/>
  <c r="Q26" i="32" s="1"/>
  <c r="I22" i="32"/>
  <c r="T22" i="32" s="1"/>
  <c r="G22" i="32"/>
  <c r="R22" i="32" s="1"/>
  <c r="G21" i="32"/>
  <c r="G26" i="32" s="1"/>
  <c r="I21" i="32"/>
  <c r="T21" i="32" s="1"/>
  <c r="T26" i="32" s="1"/>
  <c r="F23" i="32"/>
  <c r="Q23" i="32" s="1"/>
  <c r="H22" i="32"/>
  <c r="S22" i="32" s="1"/>
  <c r="G23" i="32"/>
  <c r="R23" i="32" s="1"/>
  <c r="AX119" i="13"/>
  <c r="AB113" i="13"/>
  <c r="AB116" i="13" s="1"/>
  <c r="I43" i="13"/>
  <c r="U43" i="13" s="1"/>
  <c r="D23" i="32"/>
  <c r="O23" i="32" s="1"/>
  <c r="H38" i="13"/>
  <c r="D18" i="32" s="1"/>
  <c r="T42" i="13"/>
  <c r="F44" i="30"/>
  <c r="AG44" i="13"/>
  <c r="D22" i="32"/>
  <c r="O22" i="32" s="1"/>
  <c r="E22" i="32"/>
  <c r="P22" i="32" s="1"/>
  <c r="E23" i="32"/>
  <c r="P23" i="32" s="1"/>
  <c r="E21" i="32"/>
  <c r="P21" i="32" s="1"/>
  <c r="P26" i="32" s="1"/>
  <c r="D21" i="32"/>
  <c r="O21" i="32" s="1"/>
  <c r="O26" i="32" s="1"/>
  <c r="F24" i="29"/>
  <c r="C24" i="29"/>
  <c r="D24" i="29"/>
  <c r="E24" i="29"/>
  <c r="S21" i="32"/>
  <c r="S26" i="32" s="1"/>
  <c r="H26" i="32"/>
  <c r="AO105" i="13"/>
  <c r="AB110" i="13"/>
  <c r="AZ105" i="13"/>
  <c r="AN110" i="13"/>
  <c r="AN116" i="13"/>
  <c r="AA116" i="13"/>
  <c r="AA119" i="13" s="1"/>
  <c r="AA110" i="13"/>
  <c r="BA110" i="13"/>
  <c r="BA116" i="13"/>
  <c r="Q110" i="13"/>
  <c r="Q116" i="13"/>
  <c r="AC119" i="13" s="1"/>
  <c r="AY110" i="13"/>
  <c r="AY116" i="13"/>
  <c r="P110" i="13"/>
  <c r="P116" i="13"/>
  <c r="AG100" i="13"/>
  <c r="AG101" i="13"/>
  <c r="AS101" i="13"/>
  <c r="R101" i="13"/>
  <c r="AF101" i="13"/>
  <c r="AF99" i="13"/>
  <c r="R99" i="13"/>
  <c r="AF100" i="13"/>
  <c r="Y43" i="13"/>
  <c r="AW43" i="13" s="1"/>
  <c r="AK43" i="13"/>
  <c r="AW44" i="13"/>
  <c r="AK44" i="13"/>
  <c r="X42" i="13"/>
  <c r="AJ42" i="13"/>
  <c r="E18" i="32"/>
  <c r="S25" i="32"/>
  <c r="S17" i="32"/>
  <c r="Z18" i="32"/>
  <c r="B25" i="29"/>
  <c r="AP38" i="13"/>
  <c r="Q18" i="32"/>
  <c r="H18" i="32"/>
  <c r="AJ52" i="13"/>
  <c r="AG52" i="13"/>
  <c r="AI52" i="13"/>
  <c r="AH52" i="13"/>
  <c r="AF52" i="13"/>
  <c r="R50" i="13"/>
  <c r="I26" i="32" l="1"/>
  <c r="R21" i="32"/>
  <c r="R26" i="32" s="1"/>
  <c r="F26" i="32"/>
  <c r="AZ113" i="13"/>
  <c r="AZ116" i="13" s="1"/>
  <c r="AB119" i="13"/>
  <c r="AO113" i="13"/>
  <c r="AO116" i="13" s="1"/>
  <c r="BA119" i="13" s="1"/>
  <c r="R38" i="13"/>
  <c r="H44" i="13"/>
  <c r="AG43" i="13"/>
  <c r="AS43" i="13"/>
  <c r="E26" i="32"/>
  <c r="D26" i="32"/>
  <c r="AO18" i="32"/>
  <c r="D25" i="29"/>
  <c r="E25" i="29"/>
  <c r="F25" i="29"/>
  <c r="C25" i="29"/>
  <c r="AO110" i="13"/>
  <c r="AZ110" i="13"/>
  <c r="AY119" i="13"/>
  <c r="AP100" i="13"/>
  <c r="AP99" i="13"/>
  <c r="D55" i="32"/>
  <c r="D57" i="32" s="1"/>
  <c r="AR99" i="13"/>
  <c r="AD99" i="13"/>
  <c r="AP101" i="13"/>
  <c r="AS100" i="13"/>
  <c r="AR101" i="13"/>
  <c r="BB101" i="13" s="1"/>
  <c r="AD101" i="13"/>
  <c r="AR100" i="13"/>
  <c r="AD100" i="13"/>
  <c r="AE23" i="32"/>
  <c r="AP23" i="32"/>
  <c r="F24" i="32"/>
  <c r="AB21" i="32"/>
  <c r="AB26" i="32" s="1"/>
  <c r="Z22" i="32"/>
  <c r="AK22" i="32"/>
  <c r="AD21" i="32"/>
  <c r="AD26" i="32" s="1"/>
  <c r="H24" i="32"/>
  <c r="H27" i="32" s="1"/>
  <c r="L46" i="13" s="1"/>
  <c r="AC23" i="32"/>
  <c r="AN23" i="32"/>
  <c r="AC21" i="32"/>
  <c r="AC26" i="32" s="1"/>
  <c r="G24" i="32"/>
  <c r="G27" i="32" s="1"/>
  <c r="K46" i="13" s="1"/>
  <c r="AE22" i="32"/>
  <c r="AP22" i="32"/>
  <c r="AD22" i="32"/>
  <c r="AO22" i="32"/>
  <c r="AB22" i="32"/>
  <c r="AM22" i="32"/>
  <c r="AA22" i="32"/>
  <c r="AL22" i="32"/>
  <c r="D24" i="32"/>
  <c r="Z21" i="32"/>
  <c r="Z26" i="32" s="1"/>
  <c r="AB23" i="32"/>
  <c r="AM23" i="32"/>
  <c r="E24" i="32"/>
  <c r="AA21" i="32"/>
  <c r="AA26" i="32" s="1"/>
  <c r="AO25" i="32"/>
  <c r="AO17" i="32"/>
  <c r="I24" i="32"/>
  <c r="I27" i="32" s="1"/>
  <c r="M46" i="13" s="1"/>
  <c r="AE21" i="32"/>
  <c r="AE26" i="32" s="1"/>
  <c r="AD23" i="32"/>
  <c r="AO23" i="32"/>
  <c r="AC22" i="32"/>
  <c r="AN22" i="32"/>
  <c r="AA23" i="32"/>
  <c r="AL23" i="32"/>
  <c r="Z23" i="32"/>
  <c r="AK23" i="32"/>
  <c r="B26" i="29"/>
  <c r="R43" i="13"/>
  <c r="AP52" i="13"/>
  <c r="F48" i="30" s="1"/>
  <c r="R42" i="13"/>
  <c r="S18" i="32"/>
  <c r="AT42" i="13"/>
  <c r="AU42" i="13"/>
  <c r="AS42" i="13"/>
  <c r="AV42" i="13"/>
  <c r="AV44" i="13"/>
  <c r="AU44" i="13"/>
  <c r="H52" i="13"/>
  <c r="R52" i="13" s="1"/>
  <c r="AF43" i="13"/>
  <c r="AF42" i="13"/>
  <c r="F27" i="32" l="1"/>
  <c r="J46" i="13" s="1"/>
  <c r="R44" i="13"/>
  <c r="T44" i="13"/>
  <c r="AR44" i="13" s="1"/>
  <c r="U44" i="13"/>
  <c r="AS44" i="13" s="1"/>
  <c r="AF44" i="13"/>
  <c r="AP44" i="13" s="1"/>
  <c r="AZ119" i="13"/>
  <c r="AP43" i="13"/>
  <c r="E26" i="29"/>
  <c r="F26" i="29"/>
  <c r="C26" i="29"/>
  <c r="D26" i="29"/>
  <c r="M45" i="13"/>
  <c r="M47" i="13"/>
  <c r="L45" i="13"/>
  <c r="L47" i="13"/>
  <c r="K45" i="13"/>
  <c r="K47" i="13"/>
  <c r="J45" i="13"/>
  <c r="BB100" i="13"/>
  <c r="K21" i="31"/>
  <c r="D58" i="32"/>
  <c r="H102" i="13" s="1"/>
  <c r="BB99" i="13"/>
  <c r="AE24" i="32"/>
  <c r="D27" i="32"/>
  <c r="D21" i="31"/>
  <c r="AB24" i="32"/>
  <c r="I28" i="32"/>
  <c r="P24" i="32"/>
  <c r="AL21" i="32"/>
  <c r="AN21" i="32"/>
  <c r="R24" i="32"/>
  <c r="R27" i="32" s="1"/>
  <c r="R28" i="32" s="1"/>
  <c r="F28" i="32"/>
  <c r="AA24" i="32"/>
  <c r="AK21" i="32"/>
  <c r="O24" i="32"/>
  <c r="AD24" i="32"/>
  <c r="G28" i="32"/>
  <c r="S24" i="32"/>
  <c r="S27" i="32" s="1"/>
  <c r="S28" i="32" s="1"/>
  <c r="AO21" i="32"/>
  <c r="AP21" i="32"/>
  <c r="T24" i="32"/>
  <c r="T27" i="32" s="1"/>
  <c r="T28" i="32" s="1"/>
  <c r="Z24" i="32"/>
  <c r="AC24" i="32"/>
  <c r="H28" i="32"/>
  <c r="AM21" i="32"/>
  <c r="Q24" i="32"/>
  <c r="Q27" i="32" s="1"/>
  <c r="Q28" i="32" s="1"/>
  <c r="B27" i="29"/>
  <c r="AP42" i="13"/>
  <c r="AD42" i="13"/>
  <c r="AR43" i="13"/>
  <c r="BB43" i="13" s="1"/>
  <c r="AD43" i="13"/>
  <c r="AR42" i="13"/>
  <c r="BB42" i="13" s="1"/>
  <c r="J47" i="13" l="1"/>
  <c r="H46" i="13"/>
  <c r="H45" i="13"/>
  <c r="F27" i="29"/>
  <c r="C27" i="29"/>
  <c r="E27" i="29"/>
  <c r="D27" i="29"/>
  <c r="AP24" i="32"/>
  <c r="AP27" i="32" s="1"/>
  <c r="AP28" i="32" s="1"/>
  <c r="AP26" i="32"/>
  <c r="AK24" i="32"/>
  <c r="G21" i="31" s="1"/>
  <c r="AK26" i="32"/>
  <c r="AO24" i="32"/>
  <c r="AO27" i="32" s="1"/>
  <c r="AO28" i="32" s="1"/>
  <c r="AO26" i="32"/>
  <c r="AN24" i="32"/>
  <c r="AN27" i="32" s="1"/>
  <c r="AN28" i="32" s="1"/>
  <c r="AN26" i="32"/>
  <c r="AM24" i="32"/>
  <c r="AM26" i="32"/>
  <c r="AL24" i="32"/>
  <c r="AL26" i="32"/>
  <c r="H47" i="13"/>
  <c r="I104" i="13"/>
  <c r="I103" i="13"/>
  <c r="D59" i="32"/>
  <c r="H104" i="13"/>
  <c r="H103" i="13"/>
  <c r="AI46" i="13"/>
  <c r="W46" i="13"/>
  <c r="AI45" i="13"/>
  <c r="W45" i="13"/>
  <c r="AK47" i="13"/>
  <c r="Y47" i="13"/>
  <c r="AW47" i="13" s="1"/>
  <c r="AI47" i="13"/>
  <c r="W47" i="13"/>
  <c r="AU47" i="13" s="1"/>
  <c r="AH46" i="13"/>
  <c r="V46" i="13"/>
  <c r="X47" i="13"/>
  <c r="AV47" i="13" s="1"/>
  <c r="AJ47" i="13"/>
  <c r="X46" i="13"/>
  <c r="AJ46" i="13"/>
  <c r="X45" i="13"/>
  <c r="AJ45" i="13"/>
  <c r="V47" i="13"/>
  <c r="AT47" i="13" s="1"/>
  <c r="AH47" i="13"/>
  <c r="Y45" i="13"/>
  <c r="AK45" i="13"/>
  <c r="AK46" i="13"/>
  <c r="Y46" i="13"/>
  <c r="AE27" i="32"/>
  <c r="AE28" i="32" s="1"/>
  <c r="AC27" i="32"/>
  <c r="AC28" i="32" s="1"/>
  <c r="D28" i="32"/>
  <c r="AA27" i="32"/>
  <c r="AA28" i="32" s="1"/>
  <c r="E21" i="31"/>
  <c r="F21" i="31"/>
  <c r="Z27" i="32"/>
  <c r="Z28" i="32" s="1"/>
  <c r="AM27" i="32"/>
  <c r="AM28" i="32" s="1"/>
  <c r="AD27" i="32"/>
  <c r="AD28" i="32" s="1"/>
  <c r="AB27" i="32"/>
  <c r="AB28" i="32" s="1"/>
  <c r="M48" i="13"/>
  <c r="L48" i="13"/>
  <c r="K48" i="13"/>
  <c r="L53" i="13" l="1"/>
  <c r="L55" i="13" s="1"/>
  <c r="L61" i="13" s="1"/>
  <c r="K53" i="13"/>
  <c r="K55" i="13" s="1"/>
  <c r="K61" i="13" s="1"/>
  <c r="M53" i="13"/>
  <c r="M55" i="13" s="1"/>
  <c r="M61" i="13" s="1"/>
  <c r="AF102" i="13"/>
  <c r="R102" i="13"/>
  <c r="H105" i="13"/>
  <c r="AG103" i="13"/>
  <c r="I105" i="13"/>
  <c r="I113" i="13" s="1"/>
  <c r="AG104" i="13"/>
  <c r="AS104" i="13"/>
  <c r="AF104" i="13"/>
  <c r="R104" i="13"/>
  <c r="D60" i="32"/>
  <c r="D61" i="32" s="1"/>
  <c r="D62" i="32" s="1"/>
  <c r="AF103" i="13"/>
  <c r="R103" i="13"/>
  <c r="X48" i="13"/>
  <c r="AK48" i="13"/>
  <c r="W48" i="13"/>
  <c r="Y48" i="13"/>
  <c r="AJ48" i="13"/>
  <c r="AI48" i="13"/>
  <c r="AW45" i="13"/>
  <c r="AW46" i="13"/>
  <c r="AV46" i="13"/>
  <c r="AT46" i="13"/>
  <c r="AU45" i="13"/>
  <c r="AV45" i="13"/>
  <c r="AU46" i="13"/>
  <c r="H110" i="13" l="1"/>
  <c r="H113" i="13"/>
  <c r="AK53" i="13"/>
  <c r="AK55" i="13" s="1"/>
  <c r="AK61" i="13" s="1"/>
  <c r="AP104" i="13"/>
  <c r="I116" i="13"/>
  <c r="I110" i="13"/>
  <c r="AJ53" i="13"/>
  <c r="AJ55" i="13" s="1"/>
  <c r="AJ61" i="13" s="1"/>
  <c r="AI53" i="13"/>
  <c r="AI55" i="13" s="1"/>
  <c r="AI61" i="13" s="1"/>
  <c r="AP103" i="13"/>
  <c r="Z60" i="32"/>
  <c r="Z61" i="32" s="1"/>
  <c r="Z63" i="32" s="1"/>
  <c r="AD104" i="13"/>
  <c r="AR104" i="13"/>
  <c r="BB104" i="13" s="1"/>
  <c r="AS103" i="13"/>
  <c r="U116" i="13"/>
  <c r="AP102" i="13"/>
  <c r="AF105" i="13"/>
  <c r="AR103" i="13"/>
  <c r="AK60" i="32" s="1"/>
  <c r="AK61" i="32" s="1"/>
  <c r="AK63" i="32" s="1"/>
  <c r="AD103" i="13"/>
  <c r="AG105" i="13"/>
  <c r="AG113" i="13" s="1"/>
  <c r="R105" i="13"/>
  <c r="AR102" i="13"/>
  <c r="AD102" i="13"/>
  <c r="AW48" i="13"/>
  <c r="AV48" i="13"/>
  <c r="AU48" i="13"/>
  <c r="R110" i="13" l="1"/>
  <c r="R113" i="13"/>
  <c r="AF110" i="13"/>
  <c r="AF113" i="13"/>
  <c r="AF116" i="13" s="1"/>
  <c r="U119" i="13"/>
  <c r="AG116" i="13"/>
  <c r="AG110" i="13"/>
  <c r="AK62" i="32"/>
  <c r="AK65" i="32" s="1"/>
  <c r="Z62" i="32"/>
  <c r="Z65" i="32" s="1"/>
  <c r="AS105" i="13"/>
  <c r="AS113" i="13" s="1"/>
  <c r="BB103" i="13"/>
  <c r="BB102" i="13"/>
  <c r="AR105" i="13"/>
  <c r="AP105" i="13"/>
  <c r="H116" i="13"/>
  <c r="R116" i="13" s="1"/>
  <c r="T116" i="13"/>
  <c r="AD105" i="13"/>
  <c r="AD113" i="13" s="1"/>
  <c r="I38" i="32"/>
  <c r="F38" i="32"/>
  <c r="G38" i="32"/>
  <c r="AD38" i="32"/>
  <c r="H38" i="32"/>
  <c r="AP110" i="13" l="1"/>
  <c r="AP113" i="13"/>
  <c r="AP116" i="13" s="1"/>
  <c r="AR110" i="13"/>
  <c r="AR113" i="13"/>
  <c r="AR116" i="13" s="1"/>
  <c r="AE38" i="32"/>
  <c r="AS116" i="13"/>
  <c r="AS110" i="13"/>
  <c r="AD116" i="13"/>
  <c r="AD119" i="13" s="1"/>
  <c r="AD110" i="13"/>
  <c r="D65" i="32"/>
  <c r="Z64" i="32"/>
  <c r="D64" i="32" s="1"/>
  <c r="O63" i="32"/>
  <c r="K47" i="30"/>
  <c r="K49" i="30" s="1"/>
  <c r="K52" i="30" s="1"/>
  <c r="D63" i="32"/>
  <c r="AK64" i="32"/>
  <c r="O64" i="32" s="1"/>
  <c r="O65" i="32"/>
  <c r="T119" i="13"/>
  <c r="BB105" i="13"/>
  <c r="AC38" i="32"/>
  <c r="AB38" i="32"/>
  <c r="T38" i="32"/>
  <c r="AM38" i="32"/>
  <c r="AN38" i="32"/>
  <c r="Q38" i="32"/>
  <c r="S38" i="32"/>
  <c r="R38" i="32"/>
  <c r="AP38" i="32"/>
  <c r="AO38" i="32"/>
  <c r="BB110" i="13" l="1"/>
  <c r="BB113" i="13"/>
  <c r="BB116" i="13" s="1"/>
  <c r="BB119" i="13" s="1"/>
  <c r="AS119" i="13"/>
  <c r="D66" i="32"/>
  <c r="O66" i="32"/>
  <c r="L47" i="30"/>
  <c r="L49" i="30" s="1"/>
  <c r="L52" i="30" s="1"/>
  <c r="L54" i="30" s="1"/>
  <c r="L59" i="30" s="1"/>
  <c r="Z66" i="32"/>
  <c r="AK66" i="32"/>
  <c r="AR119" i="13"/>
  <c r="N22" i="31" l="1"/>
  <c r="N23" i="31" s="1"/>
  <c r="AK69" i="32"/>
  <c r="Z69" i="32"/>
  <c r="M22" i="31"/>
  <c r="M23" i="31" s="1"/>
  <c r="O69" i="32"/>
  <c r="L22" i="31"/>
  <c r="L23" i="31" s="1"/>
  <c r="K22" i="31"/>
  <c r="K23" i="31" s="1"/>
  <c r="D69" i="32"/>
  <c r="N24" i="31" l="1"/>
  <c r="L24" i="31"/>
  <c r="BB35" i="13"/>
  <c r="AS36" i="13" l="1"/>
  <c r="BB36" i="13" s="1"/>
  <c r="AD35" i="13"/>
  <c r="AS37" i="13" l="1"/>
  <c r="AD36" i="13"/>
  <c r="I37" i="13"/>
  <c r="R37" i="13" l="1"/>
  <c r="AS38" i="13"/>
  <c r="E25" i="32"/>
  <c r="E27" i="32" s="1"/>
  <c r="E17" i="32"/>
  <c r="AL27" i="32"/>
  <c r="AL28" i="32" s="1"/>
  <c r="AL25" i="32"/>
  <c r="AL17" i="32"/>
  <c r="I47" i="13" l="1"/>
  <c r="I46" i="13"/>
  <c r="AG46" i="13" s="1"/>
  <c r="U38" i="13"/>
  <c r="AL18" i="32"/>
  <c r="I45" i="13"/>
  <c r="P25" i="32"/>
  <c r="P27" i="32" s="1"/>
  <c r="P28" i="32" s="1"/>
  <c r="P17" i="32"/>
  <c r="E28" i="32"/>
  <c r="D29" i="32"/>
  <c r="D30" i="32" s="1"/>
  <c r="D31" i="32" s="1"/>
  <c r="AR29" i="13"/>
  <c r="P18" i="32" l="1"/>
  <c r="V44" i="13"/>
  <c r="AG45" i="13"/>
  <c r="R45" i="13"/>
  <c r="V45" i="13"/>
  <c r="AH45" i="13"/>
  <c r="AH48" i="13" s="1"/>
  <c r="U47" i="13"/>
  <c r="AG47" i="13"/>
  <c r="J48" i="13"/>
  <c r="AD37" i="13"/>
  <c r="O17" i="32"/>
  <c r="E20" i="31" s="1"/>
  <c r="O25" i="32"/>
  <c r="O27" i="32" s="1"/>
  <c r="O28" i="32" s="1"/>
  <c r="R46" i="13"/>
  <c r="R47" i="13"/>
  <c r="I48" i="13"/>
  <c r="AR37" i="13"/>
  <c r="BB29" i="13"/>
  <c r="AR51" i="13"/>
  <c r="BB51" i="13" s="1"/>
  <c r="AD51" i="13"/>
  <c r="AF47" i="13"/>
  <c r="T47" i="13"/>
  <c r="AR47" i="13" s="1"/>
  <c r="AF46" i="13"/>
  <c r="Z29" i="32" s="1"/>
  <c r="Z30" i="32" s="1"/>
  <c r="T46" i="13"/>
  <c r="O29" i="32" s="1"/>
  <c r="AF45" i="13"/>
  <c r="T45" i="13"/>
  <c r="H48" i="13"/>
  <c r="U45" i="13"/>
  <c r="U46" i="13"/>
  <c r="V48" i="13" l="1"/>
  <c r="AT44" i="13"/>
  <c r="BB44" i="13" s="1"/>
  <c r="AD44" i="13"/>
  <c r="AG48" i="13"/>
  <c r="AG53" i="13" s="1"/>
  <c r="AG55" i="13" s="1"/>
  <c r="AG61" i="13" s="1"/>
  <c r="Z32" i="32"/>
  <c r="D32" i="32" s="1"/>
  <c r="AR38" i="13"/>
  <c r="T38" i="13" s="1"/>
  <c r="O18" i="32" s="1"/>
  <c r="H53" i="13"/>
  <c r="I53" i="13"/>
  <c r="I55" i="13" s="1"/>
  <c r="I61" i="13" s="1"/>
  <c r="J53" i="13"/>
  <c r="J55" i="13" s="1"/>
  <c r="J61" i="13" s="1"/>
  <c r="AH53" i="13"/>
  <c r="AH55" i="13" s="1"/>
  <c r="AH61" i="13" s="1"/>
  <c r="AT45" i="13"/>
  <c r="AT48" i="13" s="1"/>
  <c r="O30" i="32"/>
  <c r="O31" i="32" s="1"/>
  <c r="AK25" i="32"/>
  <c r="AK27" i="32"/>
  <c r="AK28" i="32" s="1"/>
  <c r="AK17" i="32"/>
  <c r="G20" i="31" s="1"/>
  <c r="Z31" i="32"/>
  <c r="R48" i="13"/>
  <c r="BB37" i="13"/>
  <c r="AD47" i="13"/>
  <c r="AP47" i="13"/>
  <c r="AP45" i="13"/>
  <c r="AD45" i="13"/>
  <c r="AD46" i="13"/>
  <c r="AP46" i="13"/>
  <c r="AR46" i="13"/>
  <c r="AK29" i="32" s="1"/>
  <c r="AF48" i="13"/>
  <c r="AR45" i="13"/>
  <c r="T48" i="13"/>
  <c r="AS47" i="13"/>
  <c r="BB47" i="13" s="1"/>
  <c r="AS46" i="13"/>
  <c r="AS45" i="13"/>
  <c r="U48" i="13"/>
  <c r="Z33" i="32" l="1"/>
  <c r="Z34" i="32"/>
  <c r="D34" i="32" s="1"/>
  <c r="BB38" i="13"/>
  <c r="AK18" i="32"/>
  <c r="AD38" i="13"/>
  <c r="R53" i="13"/>
  <c r="H55" i="13"/>
  <c r="AF53" i="13"/>
  <c r="AF55" i="13" s="1"/>
  <c r="AF61" i="13" s="1"/>
  <c r="AP61" i="13" s="1"/>
  <c r="AK30" i="32"/>
  <c r="AK32" i="32" s="1"/>
  <c r="D33" i="32"/>
  <c r="G44" i="30"/>
  <c r="P44" i="30" s="1"/>
  <c r="BB45" i="13"/>
  <c r="AD48" i="13"/>
  <c r="AP48" i="13"/>
  <c r="BB46" i="13"/>
  <c r="AR48" i="13"/>
  <c r="AS48" i="13"/>
  <c r="H61" i="13" l="1"/>
  <c r="R61" i="13" s="1"/>
  <c r="R55" i="13"/>
  <c r="AA63" i="13"/>
  <c r="AC63" i="13"/>
  <c r="AP53" i="13"/>
  <c r="AP55" i="13" s="1"/>
  <c r="Z63" i="13"/>
  <c r="AK31" i="32"/>
  <c r="AA38" i="32"/>
  <c r="D35" i="32"/>
  <c r="E38" i="32"/>
  <c r="O32" i="32"/>
  <c r="Z35" i="32"/>
  <c r="R44" i="30"/>
  <c r="Q44" i="30"/>
  <c r="AB63" i="13"/>
  <c r="AZ63" i="13"/>
  <c r="F47" i="30"/>
  <c r="F49" i="30" s="1"/>
  <c r="BB48" i="13"/>
  <c r="AK34" i="32" l="1"/>
  <c r="O34" i="32" s="1"/>
  <c r="AK33" i="32"/>
  <c r="AY63" i="13"/>
  <c r="BA63" i="13"/>
  <c r="AX63" i="13"/>
  <c r="F56" i="30"/>
  <c r="G47" i="30"/>
  <c r="P47" i="30" s="1"/>
  <c r="Z38" i="32"/>
  <c r="F22" i="31"/>
  <c r="D38" i="32"/>
  <c r="D22" i="31"/>
  <c r="AL38" i="32"/>
  <c r="P38" i="32"/>
  <c r="F52" i="30"/>
  <c r="AK35" i="32" l="1"/>
  <c r="G22" i="31" s="1"/>
  <c r="O33" i="32"/>
  <c r="O35" i="32" s="1"/>
  <c r="O38" i="32" s="1"/>
  <c r="R47" i="30"/>
  <c r="Q47" i="30"/>
  <c r="F23" i="31"/>
  <c r="D23" i="31"/>
  <c r="E22" i="31" l="1"/>
  <c r="E23" i="31" s="1"/>
  <c r="E24" i="31" s="1"/>
  <c r="AK38" i="32"/>
  <c r="G23" i="31"/>
  <c r="G24" i="31" s="1"/>
  <c r="T52" i="13"/>
  <c r="AR50" i="13"/>
  <c r="AR52" i="13" s="1"/>
  <c r="AR53" i="13" l="1"/>
  <c r="AR55" i="13" s="1"/>
  <c r="T53" i="13"/>
  <c r="T55" i="13" s="1"/>
  <c r="T61" i="13" s="1"/>
  <c r="T58" i="13" l="1"/>
  <c r="AR61" i="13"/>
  <c r="AR58" i="13"/>
  <c r="T63" i="13" l="1"/>
  <c r="AR63" i="13"/>
  <c r="AD50" i="13"/>
  <c r="V52" i="13"/>
  <c r="AU50" i="13"/>
  <c r="AU52" i="13" s="1"/>
  <c r="W52" i="13"/>
  <c r="U52" i="13"/>
  <c r="AT50" i="13"/>
  <c r="AT52" i="13" s="1"/>
  <c r="AV50" i="13"/>
  <c r="AV52" i="13" s="1"/>
  <c r="X52" i="13"/>
  <c r="AW50" i="13"/>
  <c r="AW52" i="13" s="1"/>
  <c r="Y52" i="13"/>
  <c r="AS50" i="13"/>
  <c r="Y53" i="13" l="1"/>
  <c r="Y55" i="13" s="1"/>
  <c r="Y61" i="13" s="1"/>
  <c r="AV53" i="13"/>
  <c r="AV55" i="13" s="1"/>
  <c r="AV61" i="13" s="1"/>
  <c r="W53" i="13"/>
  <c r="W55" i="13" s="1"/>
  <c r="W61" i="13" s="1"/>
  <c r="AW53" i="13"/>
  <c r="AW55" i="13" s="1"/>
  <c r="AW61" i="13" s="1"/>
  <c r="AT53" i="13"/>
  <c r="AT55" i="13" s="1"/>
  <c r="AT61" i="13" s="1"/>
  <c r="AU53" i="13"/>
  <c r="AU55" i="13" s="1"/>
  <c r="AU58" i="13" s="1"/>
  <c r="BB50" i="13"/>
  <c r="X53" i="13"/>
  <c r="X55" i="13" s="1"/>
  <c r="X61" i="13" s="1"/>
  <c r="U53" i="13"/>
  <c r="U55" i="13" s="1"/>
  <c r="U61" i="13" s="1"/>
  <c r="V53" i="13"/>
  <c r="V55" i="13" s="1"/>
  <c r="V61" i="13" s="1"/>
  <c r="AS52" i="13"/>
  <c r="AD52" i="13"/>
  <c r="V58" i="13" l="1"/>
  <c r="V63" i="13" s="1"/>
  <c r="AV58" i="13"/>
  <c r="AV63" i="13" s="1"/>
  <c r="U58" i="13"/>
  <c r="Y58" i="13"/>
  <c r="Y63" i="13" s="1"/>
  <c r="X58" i="13"/>
  <c r="X63" i="13" s="1"/>
  <c r="W58" i="13"/>
  <c r="AU61" i="13"/>
  <c r="AW58" i="13"/>
  <c r="AW63" i="13" s="1"/>
  <c r="AT58" i="13"/>
  <c r="AT63" i="13" s="1"/>
  <c r="BB52" i="13"/>
  <c r="AS53" i="13"/>
  <c r="AS55" i="13" s="1"/>
  <c r="AD53" i="13"/>
  <c r="AD55" i="13" s="1"/>
  <c r="AD61" i="13" s="1"/>
  <c r="W63" i="13" l="1"/>
  <c r="AD58" i="13"/>
  <c r="AD63" i="13" s="1"/>
  <c r="AS61" i="13"/>
  <c r="AS58" i="13"/>
  <c r="AU63" i="13"/>
  <c r="BB53" i="13"/>
  <c r="BB55" i="13" s="1"/>
  <c r="BB58" i="13" s="1"/>
  <c r="G48" i="30"/>
  <c r="U63" i="13" l="1"/>
  <c r="BB61" i="13"/>
  <c r="G56" i="30" s="1"/>
  <c r="P56" i="30" s="1"/>
  <c r="AS63" i="13"/>
  <c r="G49" i="30"/>
  <c r="G52" i="30" s="1"/>
  <c r="G54" i="30" s="1"/>
  <c r="P48" i="30"/>
  <c r="R56" i="30" l="1"/>
  <c r="Q56" i="30"/>
  <c r="BB63" i="13"/>
  <c r="P49" i="30"/>
  <c r="P52" i="30" s="1"/>
  <c r="Q48" i="30"/>
  <c r="Q49" i="30" s="1"/>
  <c r="Q52" i="30" s="1"/>
  <c r="R48" i="30"/>
  <c r="R49" i="30" s="1"/>
  <c r="R52" i="30" s="1"/>
  <c r="P54" i="30"/>
  <c r="G59" i="30"/>
  <c r="P59" i="30" l="1"/>
  <c r="Q54" i="30"/>
  <c r="R54" i="30"/>
  <c r="R59" i="30" l="1"/>
  <c r="Q59" i="30"/>
  <c r="E15" i="15"/>
  <c r="F20" i="30" s="1"/>
  <c r="F21" i="30"/>
  <c r="M15" i="15"/>
</calcChain>
</file>

<file path=xl/comments1.xml><?xml version="1.0" encoding="utf-8"?>
<comments xmlns="http://schemas.openxmlformats.org/spreadsheetml/2006/main">
  <authors>
    <author>Hans Schwartz</author>
  </authors>
  <commentList>
    <comment ref="E36" authorId="0" shapeId="0">
      <text>
        <r>
          <rPr>
            <sz val="9"/>
            <color indexed="81"/>
            <rFont val="Tahoma"/>
            <charset val="1"/>
          </rPr>
          <t>1=Volledig ERD
2=Volledig aangesloten
3=ERD WD14
4=ERD WD42
5=ERD SL80
6=ERD SL100
7=Vf ontheffing</t>
        </r>
      </text>
    </comment>
  </commentList>
</comments>
</file>

<file path=xl/comments2.xml><?xml version="1.0" encoding="utf-8"?>
<comments xmlns="http://schemas.openxmlformats.org/spreadsheetml/2006/main">
  <authors>
    <author>Hans Schwartz</author>
  </authors>
  <commentList>
    <comment ref="D8" authorId="0" shapeId="0">
      <text>
        <r>
          <rPr>
            <b/>
            <sz val="9"/>
            <color indexed="81"/>
            <rFont val="Tahoma"/>
            <family val="2"/>
          </rPr>
          <t>Hans Schwartz:</t>
        </r>
        <r>
          <rPr>
            <sz val="9"/>
            <color indexed="81"/>
            <rFont val="Tahoma"/>
            <family val="2"/>
          </rPr>
          <t xml:space="preserve">
eze waarden zijn overgenomen van tabblad Invoer gegevens</t>
        </r>
      </text>
    </comment>
  </commentList>
</comments>
</file>

<file path=xl/comments3.xml><?xml version="1.0" encoding="utf-8"?>
<comments xmlns="http://schemas.openxmlformats.org/spreadsheetml/2006/main">
  <authors>
    <author>Hans Schwartz</author>
  </authors>
  <commentList>
    <comment ref="D18" authorId="0" shapeId="0">
      <text>
        <r>
          <rPr>
            <b/>
            <sz val="9"/>
            <color indexed="81"/>
            <rFont val="Tahoma"/>
            <family val="2"/>
          </rPr>
          <t>Hans Schwartz:</t>
        </r>
        <r>
          <rPr>
            <sz val="9"/>
            <color indexed="81"/>
            <rFont val="Tahoma"/>
            <family val="2"/>
          </rPr>
          <t xml:space="preserve">
</t>
        </r>
      </text>
    </comment>
    <comment ref="D65" authorId="0" shapeId="0">
      <text>
        <r>
          <rPr>
            <b/>
            <sz val="9"/>
            <color indexed="81"/>
            <rFont val="Tahoma"/>
            <charset val="1"/>
          </rPr>
          <t>Hans Schwartz:</t>
        </r>
        <r>
          <rPr>
            <sz val="9"/>
            <color indexed="81"/>
            <rFont val="Tahoma"/>
            <charset val="1"/>
          </rPr>
          <t xml:space="preserve">
De  arbeidskorting wordt berekend rekening houdend met de inkomensgrenzen die daarbij gelden. Zie tabel op tabblad Tabellen loonbelasting.  Voor werkende AOW-gerechtigden arbeidskorting gelden afwijkende bedragen</t>
        </r>
      </text>
    </comment>
  </commentList>
</comments>
</file>

<file path=xl/comments4.xml><?xml version="1.0" encoding="utf-8"?>
<comments xmlns="http://schemas.openxmlformats.org/spreadsheetml/2006/main">
  <authors>
    <author>Keizer</author>
    <author>Kitty Attema</author>
    <author>B Keizer</author>
  </authors>
  <commentList>
    <comment ref="A11" authorId="0" shapeId="0">
      <text>
        <r>
          <rPr>
            <sz val="9"/>
            <color indexed="81"/>
            <rFont val="Tahoma"/>
            <family val="2"/>
          </rPr>
          <t xml:space="preserve">
De premie voor KinderOpvang is hier ondergebracht.</t>
        </r>
      </text>
    </comment>
    <comment ref="C11" authorId="1" shapeId="0">
      <text>
        <r>
          <rPr>
            <sz val="9"/>
            <color indexed="81"/>
            <rFont val="Tahoma"/>
            <family val="2"/>
          </rPr>
          <t>dit is het percentage voor middelgrote en grote werkgevers</t>
        </r>
        <r>
          <rPr>
            <b/>
            <sz val="9"/>
            <color indexed="81"/>
            <rFont val="Tahoma"/>
            <family val="2"/>
          </rPr>
          <t xml:space="preserve">
</t>
        </r>
      </text>
    </comment>
    <comment ref="G11" authorId="1" shapeId="0">
      <text>
        <r>
          <rPr>
            <sz val="9"/>
            <color indexed="81"/>
            <rFont val="Tahoma"/>
            <family val="2"/>
          </rPr>
          <t>Staatscourant eind november</t>
        </r>
      </text>
    </comment>
    <comment ref="B21" authorId="2" shapeId="0">
      <text>
        <r>
          <rPr>
            <sz val="9"/>
            <color indexed="81"/>
            <rFont val="Tahoma"/>
            <family val="2"/>
          </rPr>
          <t>WPO art. 188 lid 3:
Van de in het eerste juncto tweede lid bedoelde verplichting kan Onze Minister op aanvraag van het bevoegd gezag ontheffing verlenen op grond van bezwaren van godsdienstige of levensbeschouwelijke aard. Onze Minister verleent de ontheffing slechts indien het bevoegd gezag aantoont dat een afdoende andere voorziening is getroffen met betrekking tot de gevolgen van vervanging bij afwezigheid van personeel. Onze Minister besluit binnen zes maanden na ontvangst van een aanvraag als bedoeld in de eerste volzin.</t>
        </r>
      </text>
    </comment>
    <comment ref="A30" authorId="2" shapeId="0">
      <text>
        <r>
          <rPr>
            <sz val="9"/>
            <color indexed="81"/>
            <rFont val="Tahoma"/>
            <family val="2"/>
          </rPr>
          <t xml:space="preserve">
Eenmalige uitkering in februari  naar rato wtf voor werknemers in dienst in januari 2020 van 875 euro.</t>
        </r>
      </text>
    </comment>
    <comment ref="A31" authorId="2" shapeId="0">
      <text>
        <r>
          <rPr>
            <sz val="9"/>
            <color indexed="81"/>
            <rFont val="Tahoma"/>
            <family val="2"/>
          </rPr>
          <t xml:space="preserve">
Uitkering van 33% van maandsalaris in januari 2020 naar rato aanstellingsduur en wtf in januari 2020.</t>
        </r>
      </text>
    </comment>
    <comment ref="H80" authorId="1" shapeId="0">
      <text>
        <r>
          <rPr>
            <sz val="9"/>
            <color indexed="81"/>
            <rFont val="Tahoma"/>
            <family val="2"/>
          </rPr>
          <t xml:space="preserve">o.b.v. uurloon € 14,06
</t>
        </r>
      </text>
    </comment>
    <comment ref="B81" authorId="1" shapeId="0">
      <text>
        <r>
          <rPr>
            <b/>
            <sz val="9"/>
            <color indexed="81"/>
            <rFont val="Tahoma"/>
            <family val="2"/>
          </rPr>
          <t>Kitty Attema:</t>
        </r>
        <r>
          <rPr>
            <sz val="9"/>
            <color indexed="81"/>
            <rFont val="Tahoma"/>
            <family val="2"/>
          </rPr>
          <t xml:space="preserve">
tijdelijke trede
</t>
        </r>
      </text>
    </comment>
    <comment ref="C81" authorId="1" shapeId="0">
      <text>
        <r>
          <rPr>
            <b/>
            <sz val="9"/>
            <color indexed="81"/>
            <rFont val="Tahoma"/>
            <family val="2"/>
          </rPr>
          <t>Kitty Attema:</t>
        </r>
        <r>
          <rPr>
            <sz val="9"/>
            <color indexed="81"/>
            <rFont val="Tahoma"/>
            <family val="2"/>
          </rPr>
          <t xml:space="preserve">
tijdelijke trede
</t>
        </r>
      </text>
    </comment>
    <comment ref="D81" authorId="1" shapeId="0">
      <text>
        <r>
          <rPr>
            <b/>
            <sz val="9"/>
            <color indexed="81"/>
            <rFont val="Tahoma"/>
            <family val="2"/>
          </rPr>
          <t>Kitty Attema:</t>
        </r>
        <r>
          <rPr>
            <sz val="9"/>
            <color indexed="81"/>
            <rFont val="Tahoma"/>
            <family val="2"/>
          </rPr>
          <t xml:space="preserve">
tijdelijke trede
</t>
        </r>
      </text>
    </comment>
    <comment ref="E81" authorId="1" shapeId="0">
      <text>
        <r>
          <rPr>
            <b/>
            <sz val="9"/>
            <color indexed="81"/>
            <rFont val="Tahoma"/>
            <family val="2"/>
          </rPr>
          <t>Kitty Attema:</t>
        </r>
        <r>
          <rPr>
            <sz val="9"/>
            <color indexed="81"/>
            <rFont val="Tahoma"/>
            <family val="2"/>
          </rPr>
          <t xml:space="preserve">
tijdelijke trede
</t>
        </r>
      </text>
    </comment>
    <comment ref="B82" authorId="1" shapeId="0">
      <text>
        <r>
          <rPr>
            <sz val="9"/>
            <color indexed="81"/>
            <rFont val="Tahoma"/>
            <family val="2"/>
          </rPr>
          <t xml:space="preserve">tredes a t/m d hebben een nummerieke benaming in dit model om der werking ervan te faciliteren.
</t>
        </r>
      </text>
    </comment>
    <comment ref="C82" authorId="1" shapeId="0">
      <text>
        <r>
          <rPr>
            <sz val="9"/>
            <color indexed="81"/>
            <rFont val="Tahoma"/>
            <family val="2"/>
          </rPr>
          <t xml:space="preserve">tredes a t/m d hebben een nummerieke benaming in dit model om der werking ervan te faciliteren.
</t>
        </r>
      </text>
    </comment>
    <comment ref="D82" authorId="1" shapeId="0">
      <text>
        <r>
          <rPr>
            <sz val="9"/>
            <color indexed="81"/>
            <rFont val="Tahoma"/>
            <family val="2"/>
          </rPr>
          <t xml:space="preserve">tredes a t/m d hebben een nummerieke benaming in dit model om der werking ervan te faciliteren.
</t>
        </r>
      </text>
    </comment>
    <comment ref="E82" authorId="1" shapeId="0">
      <text>
        <r>
          <rPr>
            <sz val="9"/>
            <color indexed="81"/>
            <rFont val="Tahoma"/>
            <family val="2"/>
          </rPr>
          <t xml:space="preserve">tredes a t/m d hebben een nummerieke benaming in dit model om der werking ervan te faciliteren.
</t>
        </r>
      </text>
    </comment>
    <comment ref="E91" authorId="1" shapeId="0">
      <text>
        <r>
          <rPr>
            <sz val="9"/>
            <color indexed="81"/>
            <rFont val="Tahoma"/>
            <family val="2"/>
          </rPr>
          <t>vervalt op 1 aug. 2025</t>
        </r>
        <r>
          <rPr>
            <sz val="9"/>
            <color indexed="81"/>
            <rFont val="Tahoma"/>
            <family val="2"/>
          </rPr>
          <t xml:space="preserve">
</t>
        </r>
      </text>
    </comment>
  </commentList>
</comments>
</file>

<file path=xl/sharedStrings.xml><?xml version="1.0" encoding="utf-8"?>
<sst xmlns="http://schemas.openxmlformats.org/spreadsheetml/2006/main" count="723" uniqueCount="400">
  <si>
    <t>salaristabellen</t>
  </si>
  <si>
    <t>LIOa</t>
  </si>
  <si>
    <t>LIOb</t>
  </si>
  <si>
    <t>schaal</t>
  </si>
  <si>
    <t>regel</t>
  </si>
  <si>
    <t>Salarisgegevens</t>
  </si>
  <si>
    <t>norm maandsalaris</t>
  </si>
  <si>
    <t>De werkbladen zijn beveiligd met het wachtwoord:</t>
  </si>
  <si>
    <t>vakantieuitkering</t>
  </si>
  <si>
    <t>OP/NP</t>
  </si>
  <si>
    <t>werkgever</t>
  </si>
  <si>
    <t>werknemer</t>
  </si>
  <si>
    <t>Tabel premiepercentages</t>
  </si>
  <si>
    <t>maand</t>
  </si>
  <si>
    <t>UFO</t>
  </si>
  <si>
    <t>Jaarinkomen ABP</t>
  </si>
  <si>
    <t>per maand</t>
  </si>
  <si>
    <t>per jaar</t>
  </si>
  <si>
    <t>Werknemer</t>
  </si>
  <si>
    <t>Participatiefonds</t>
  </si>
  <si>
    <t>Structurele eindejaarsuitkering</t>
  </si>
  <si>
    <t>eindejaarsuitkering</t>
  </si>
  <si>
    <t>Minimum vakantietoelage, fulltimer</t>
  </si>
  <si>
    <t>Loon voor de loonbelasting</t>
  </si>
  <si>
    <t>franchise jr</t>
  </si>
  <si>
    <t>franchise mnd</t>
  </si>
  <si>
    <t>Schijf</t>
  </si>
  <si>
    <t>algemene heffingskorting</t>
  </si>
  <si>
    <t>arbeidskorting</t>
  </si>
  <si>
    <t>AOP</t>
  </si>
  <si>
    <t>schooljaar</t>
  </si>
  <si>
    <t>Geboortedatum</t>
  </si>
  <si>
    <t>(1)</t>
  </si>
  <si>
    <t>(2)</t>
  </si>
  <si>
    <t>(3)</t>
  </si>
  <si>
    <t>(4)</t>
  </si>
  <si>
    <t>ZVW premie werkgever</t>
  </si>
  <si>
    <t>FPU (VUT/FPU basis)</t>
  </si>
  <si>
    <t>ERD WD14</t>
  </si>
  <si>
    <t>ERD WD42</t>
  </si>
  <si>
    <t>ERD SL80</t>
  </si>
  <si>
    <t>ERD SL100</t>
  </si>
  <si>
    <t>Volledig ERD</t>
  </si>
  <si>
    <t>Bijdrage-inkomen</t>
  </si>
  <si>
    <t>idem</t>
  </si>
  <si>
    <t>meer info</t>
  </si>
  <si>
    <t>BRUTO-NETTO TRAJECT WERKNEMER (indicatief)</t>
  </si>
  <si>
    <t>BASISGEGEVENS</t>
  </si>
  <si>
    <t>uitlooptoeslag leraar</t>
  </si>
  <si>
    <t>Eenmalige nominale uitkering wn</t>
  </si>
  <si>
    <t>premie Participatiefonds (Pf)</t>
  </si>
  <si>
    <t>Premies pensioen- en werknemersverzekeringen</t>
  </si>
  <si>
    <t>A. SALARIS</t>
  </si>
  <si>
    <t>C. WERKGEVERSLASTEN</t>
  </si>
  <si>
    <t>Pensioenpremies werknemer</t>
  </si>
  <si>
    <t>minus: Pensioenpremies werknemer</t>
  </si>
  <si>
    <t>bijdrage -inkomen</t>
  </si>
  <si>
    <t>(5)</t>
  </si>
  <si>
    <t>(6)</t>
  </si>
  <si>
    <t>(7)</t>
  </si>
  <si>
    <t>premie Vervangingsfonds (Vf)</t>
  </si>
  <si>
    <t>Kalenderjaar</t>
  </si>
  <si>
    <t>A10</t>
  </si>
  <si>
    <t>A11</t>
  </si>
  <si>
    <t>A12</t>
  </si>
  <si>
    <t>A13</t>
  </si>
  <si>
    <t>Uitkering wn maandloon januari</t>
  </si>
  <si>
    <t>D11</t>
  </si>
  <si>
    <t>D12</t>
  </si>
  <si>
    <t>D13</t>
  </si>
  <si>
    <t>D14</t>
  </si>
  <si>
    <t>D15</t>
  </si>
  <si>
    <t>nee</t>
  </si>
  <si>
    <t>Whk: WGA vast en ZW-flex</t>
  </si>
  <si>
    <t>WAO/WIA (incl. Whk)</t>
  </si>
  <si>
    <t>%</t>
  </si>
  <si>
    <t>Salarisdoorbetaling</t>
  </si>
  <si>
    <t>Werktijd</t>
  </si>
  <si>
    <t>Pensioenopbouw</t>
  </si>
  <si>
    <t>Keuze generatiepact</t>
  </si>
  <si>
    <t>ja</t>
  </si>
  <si>
    <t>Algemeen</t>
  </si>
  <si>
    <t>Overige looncomponenten</t>
  </si>
  <si>
    <t>Huidige werktijdfactor</t>
  </si>
  <si>
    <t>werktijdfactor</t>
  </si>
  <si>
    <t>totaal salaris en overige looncomponenten</t>
  </si>
  <si>
    <t>Belastbaar inkomen</t>
  </si>
  <si>
    <t>Percentage</t>
  </si>
  <si>
    <t>Schijventarief &lt; AOW-leeftijd</t>
  </si>
  <si>
    <t>AOW-leeftijd</t>
  </si>
  <si>
    <t>Netto-inkomen</t>
  </si>
  <si>
    <t>Loonbelasting</t>
  </si>
  <si>
    <t>Schijventarief &gt;= AOW-leeftijd</t>
  </si>
  <si>
    <t>Algemene heffingskorting&lt; AOW-leeftijd</t>
  </si>
  <si>
    <t>schijventarief</t>
  </si>
  <si>
    <t>loon voor de loonbelasting</t>
  </si>
  <si>
    <t>Algemene heffingskorting *</t>
  </si>
  <si>
    <t>Algemene heffingskorting&gt;= AOW-leeftijd</t>
  </si>
  <si>
    <t>Werktijdfactor</t>
  </si>
  <si>
    <t>Huidig</t>
  </si>
  <si>
    <t>Generatiepact</t>
  </si>
  <si>
    <t>2. Maak als werknemer met je werkgever afspraken over de aanpassing van de taakinvulling bij (tijdelijke) reductie van de arbeidsduur. Bespreek daarbij de mogelijkheden voor aanpassingen die passen bij je loopbaan- en levensfase, bijvoorbeeld: extra inzet voor coaching/ begeleiding van startende collega's.</t>
  </si>
  <si>
    <t>Vooraf</t>
  </si>
  <si>
    <t>Stap 2: GEGEVENS VERVANGER</t>
  </si>
  <si>
    <t>Stap 1:</t>
  </si>
  <si>
    <t xml:space="preserve">Stap 2: </t>
  </si>
  <si>
    <t xml:space="preserve">Stap 3: </t>
  </si>
  <si>
    <t>Hier worden de gegevens van de werkgever ingevoerd. Dit betreft de aansluiting bij het Vervangingsfonds en/of de kosten van het eigen risicodragerschap</t>
  </si>
  <si>
    <t>Per maand</t>
  </si>
  <si>
    <t>Per jaar</t>
  </si>
  <si>
    <t>Regel werknemer</t>
  </si>
  <si>
    <t>Regel vervanger</t>
  </si>
  <si>
    <t xml:space="preserve">,  </t>
  </si>
  <si>
    <t>WERKNEMER</t>
  </si>
  <si>
    <t>VERVANGER</t>
  </si>
  <si>
    <t>E. TOTALE LOONKOSTEN</t>
  </si>
  <si>
    <t>Totaal loonkosten</t>
  </si>
  <si>
    <t>Bruto-salaris (norm salaris X werktijdfactor)</t>
  </si>
  <si>
    <t>Salaris en overige looncomponenten</t>
  </si>
  <si>
    <t>B. PENSIOENPREMIES WERKNEMER</t>
  </si>
  <si>
    <t>F. NETTO-INKOMEN</t>
  </si>
  <si>
    <t>Stap 1: GEGEVENS WERKNEMER</t>
  </si>
  <si>
    <t>AAN DE SLAG MET DE REKENTOOL GENERATIEPACT</t>
  </si>
  <si>
    <t xml:space="preserve">   - (tijdelijke) beperking van de werktijd van een werknemer;</t>
  </si>
  <si>
    <t xml:space="preserve">   - het creëren van formatieruimte voor werknemers van een andere generatie (vervanger).</t>
  </si>
  <si>
    <t>TECHNISCHE TOELICHTING</t>
  </si>
  <si>
    <t>Invoer Gegevens</t>
  </si>
  <si>
    <t xml:space="preserve">Via het tabblad </t>
  </si>
  <si>
    <t xml:space="preserve">Startpagina </t>
  </si>
  <si>
    <t xml:space="preserve">kan genavigeerd worden naar het tabblad </t>
  </si>
  <si>
    <t>Invoer gegevens werknemer</t>
  </si>
  <si>
    <t>De gegevens van de werknemer die gebruik wil maken van het generatiepact worden hier ingevuld. Dit betreft:</t>
  </si>
  <si>
    <t>Invoer gegevens vervanger</t>
  </si>
  <si>
    <t>Invoer gegevens werkgever</t>
  </si>
  <si>
    <t>Invoer gegevens</t>
  </si>
  <si>
    <t>Uitkomsten</t>
  </si>
  <si>
    <t>Loonkosten</t>
  </si>
  <si>
    <t>Loonkosten:</t>
  </si>
  <si>
    <t>De uitkomsten van de berekeningen zijn te vinden op de tabbladen:</t>
  </si>
  <si>
    <t>Inkomensgevolgen</t>
  </si>
  <si>
    <t>Inkomensgevolgen:</t>
  </si>
  <si>
    <t>Totaal werkgeverslasten (C.+ D.)</t>
  </si>
  <si>
    <t>Toename/ afname loonkosten</t>
  </si>
  <si>
    <t>TOTAAL</t>
  </si>
  <si>
    <t>Salariskorting (%-punten)</t>
  </si>
  <si>
    <t>Zie toelichting:</t>
  </si>
  <si>
    <t>1 = premie verplichte verzekering (6,05%)</t>
  </si>
  <si>
    <t>2 = premie vrijwillige verzekering (6,05%)</t>
  </si>
  <si>
    <t>3 = eigenrisicodrager (0,05%)</t>
  </si>
  <si>
    <t>4 = geen aansluiting (0%)</t>
  </si>
  <si>
    <t>5 = ERD WD14 (3,55%)</t>
  </si>
  <si>
    <t>6 = ERD WD42 (2,95%)</t>
  </si>
  <si>
    <t>7 = ERD SL80 (0,55%)</t>
  </si>
  <si>
    <t>8 = ERD SL100 (0,25%)</t>
  </si>
  <si>
    <t>F. KOSTEN/ OPBRENGSTEN GENERATIEPACT</t>
  </si>
  <si>
    <t>WERKGEVERSLASTEN PO</t>
  </si>
  <si>
    <t>INDICATIE INKOMENSGEVOLGEN PO</t>
  </si>
  <si>
    <t xml:space="preserve"> Detailberekeningen:</t>
  </si>
  <si>
    <t>Toelichting</t>
  </si>
  <si>
    <t>+</t>
  </si>
  <si>
    <t>=</t>
  </si>
  <si>
    <t>INDICATIE INKOMENSGEVOLGEN</t>
  </si>
  <si>
    <t>TOENAME/ AFNAME</t>
  </si>
  <si>
    <t>Vul bij stap 2 de salarisgegevens in van de vervanger. Bij de gegevens van de vervanger gaat het in principe alleen om de wijziging van de betrekkingsomvang. Het is echter ook mogelijk om andere gegevens aan te passen.</t>
  </si>
  <si>
    <t>Jaar</t>
  </si>
  <si>
    <t>Maand</t>
  </si>
  <si>
    <t>Totaal</t>
  </si>
  <si>
    <t>Jaardeel startjaar</t>
  </si>
  <si>
    <t>Jaardeel eindjaar</t>
  </si>
  <si>
    <t>Kosten ziekte, vervanging en werkloosheid</t>
  </si>
  <si>
    <t>mei</t>
  </si>
  <si>
    <t>januari</t>
  </si>
  <si>
    <t>februari</t>
  </si>
  <si>
    <t>maart</t>
  </si>
  <si>
    <t>april</t>
  </si>
  <si>
    <t>juni</t>
  </si>
  <si>
    <t>juli</t>
  </si>
  <si>
    <t>augustus</t>
  </si>
  <si>
    <t>september</t>
  </si>
  <si>
    <t>oktober</t>
  </si>
  <si>
    <t>november</t>
  </si>
  <si>
    <t>december</t>
  </si>
  <si>
    <t>-</t>
  </si>
  <si>
    <t>Naam werknemer</t>
  </si>
  <si>
    <t>Geboortedaum werknemer</t>
  </si>
  <si>
    <t>Startdatum generatiepact (jaar, maand)</t>
  </si>
  <si>
    <t>Einddatum generatiepact (jaar, maand)</t>
  </si>
  <si>
    <t xml:space="preserve">- </t>
  </si>
  <si>
    <t>Percentage pensioenopbouw tijdens het generatiepact.</t>
  </si>
  <si>
    <t>Eigen (belonings)beleid werkgever (idem)</t>
  </si>
  <si>
    <t>G. INVERDIENEFFECTEN</t>
  </si>
  <si>
    <t>Ziekteverzuim</t>
  </si>
  <si>
    <t>F. NETTO-KOSTEN/ OPBRENGSTEN GENERATIEPACT</t>
  </si>
  <si>
    <t>Toename/ afname</t>
  </si>
  <si>
    <t>kosten vervanging eigen beleid</t>
  </si>
  <si>
    <t>KOSTEN GENERATIEPACT</t>
  </si>
  <si>
    <t>Betreft personen geboren</t>
  </si>
  <si>
    <t>na 31 augustus 1953 en voor 1 september 1954</t>
  </si>
  <si>
    <t>na 31 augustus 1954 en voor 1 september 1955</t>
  </si>
  <si>
    <t>na 31 augustus 1955 en voor 1 juni 1956</t>
  </si>
  <si>
    <t>na 31 mei 1956 en voor 1 maart 1957</t>
  </si>
  <si>
    <t>67 jaar</t>
  </si>
  <si>
    <t>na 28 februari 1957 en voor 1 januari 1958</t>
  </si>
  <si>
    <t>na 31 december 1957 en voor 1 januari 1959</t>
  </si>
  <si>
    <t>na 31 december 1958 en voor 1 januari 1960</t>
  </si>
  <si>
    <t>Geboren vanaf</t>
  </si>
  <si>
    <t>AOW-datum</t>
  </si>
  <si>
    <t>66 jaar + 4 maanden</t>
  </si>
  <si>
    <t>66 jaar + 7 maanden</t>
  </si>
  <si>
    <t>66 jaar + 10 maanden</t>
  </si>
  <si>
    <t>Ziekteverzuimpercentage</t>
  </si>
  <si>
    <t xml:space="preserve">Vul bij stap 1 de gegevens van de werknemer in.  </t>
  </si>
  <si>
    <t>Algemene gegevens</t>
  </si>
  <si>
    <t>Gemiddeld per jaar</t>
  </si>
  <si>
    <t>Gemiddeld per maand</t>
  </si>
  <si>
    <t>Toename(+)/Afname (-)</t>
  </si>
  <si>
    <t>Werkgeverslasten</t>
  </si>
  <si>
    <t>InverdieneffectZiekteverzuim</t>
  </si>
  <si>
    <t>Totaalbedragen voor de duur van het generatiepact</t>
  </si>
  <si>
    <t>Stap 3: INVERDIENEFFECTEN</t>
  </si>
  <si>
    <t>Salaris (incl. overige looncomponenten)</t>
  </si>
  <si>
    <t>Bruto-salaris (incl. overige looncomponenten)</t>
  </si>
  <si>
    <t>Mutatie netto-inkomen</t>
  </si>
  <si>
    <t>Naam</t>
  </si>
  <si>
    <t>Onderliggende doelstelling is dat de afspraken bijdragen aan de duurzame inzetbaarheid van zowel de werknemer als zijn vervanger.</t>
  </si>
  <si>
    <t xml:space="preserve">Met deze rekentool kunnen de gevolgen van een dergelijke afspraak van het generatiepact worden doorgerekend en een indicatie worden gegeven van de gevolgen voor het (netto-)inkomen van de werknemer. </t>
  </si>
  <si>
    <t>Vul in de linkerkolom de huidige salarisgegevens in en in de rechterkolom de gegevens bij gebruikmaking van het generatiepact. Bij het generatiepact wordt hier, naast de gewijzigde betrekkingsomvang, de korting op het salaris en de voortzetting van de pensioenopbouw ingevuld.</t>
  </si>
  <si>
    <t xml:space="preserve">Schoolbesturen (werkgevers) stellen voorwaarden ten aanzien van het (maximale) aantal uren werktijdvermindering per week, de salarisdoorbetaling en de pensioenopbouw gedurende het generatiepact. </t>
  </si>
  <si>
    <t xml:space="preserve">1. Voer als werkgever en werknemer vooraf overleg over de mogelijkheden voor deelname aan het generatiepact. Als de werkgever een generatiepact aanbiedt, is hierover in overleg met de (G)MR een reglement opgesteld dat wordt toegepast bij het maken van afspraken. </t>
  </si>
  <si>
    <t xml:space="preserve">3. Maak, indien nodig, als werkgever ook afspraken met de collega die de werknemer tijdens het generatiepact vervangt. Ook met deze vervanger kunnen afspraken worden gemaakt over de invulling van de (tijdelijke) uitbreiding van de arbeidsduur, bijvoorbeeld voor extra coaching of begeleiding. </t>
  </si>
  <si>
    <t>Schaal</t>
  </si>
  <si>
    <t>Regel</t>
  </si>
  <si>
    <t>Norm maandsalaris</t>
  </si>
  <si>
    <t>Voortzetting pensioenopbouw</t>
  </si>
  <si>
    <t>Uitlooptoeslag leraar</t>
  </si>
  <si>
    <t>Start generatiepact</t>
  </si>
  <si>
    <t>Einde generatiepact</t>
  </si>
  <si>
    <t>Ziekteverzuimpercentage werknemer</t>
  </si>
  <si>
    <t>Vul allereerst de algemene gegevens in, zoals: naam, geboortedatum en start en einddatum van het generatiepact. Bij de einddatum kan rekening worden gehouden met de AOW-leeftijd van de werknemer.</t>
  </si>
  <si>
    <t>Norm maandsalaris per maand</t>
  </si>
  <si>
    <t>Alleen de witte velden kunnen worden gewijzigd. Daar kunnen verschillende variabelen voor de berekeningen worden gekozen c.q. ingevoerd.</t>
  </si>
  <si>
    <t xml:space="preserve">Voor de berekingen van het generatiepact moeten hier drie stappen worden doorlopen. </t>
  </si>
  <si>
    <t>Salarisschaal (huidig en bij start generatiepact)</t>
  </si>
  <si>
    <t>Werktijdfactor (huidig en tijdens generatiepact)</t>
  </si>
  <si>
    <t>Eigen (belonings)beleid werkgever (huidig en tijdens generatiepact)</t>
  </si>
  <si>
    <t>Hier worden gegevens van de eventuele vervanger ingevuld. Dit betreft:</t>
  </si>
  <si>
    <t>Salarisnummer (huidig en bij start generatiepact)</t>
  </si>
  <si>
    <t>NB: Veronderstelling is ook hier dat dit niet wijzigt tijdens het generatiepact.</t>
  </si>
  <si>
    <t xml:space="preserve">Op dit tabblad worden de uitkomsten van de loonkostenberekening voor de werknemer en de vervanger gepresenteerd, in de huidige situatie en bij deelname aan het generatiepact. </t>
  </si>
  <si>
    <t>en</t>
  </si>
  <si>
    <t xml:space="preserve">Mogelijk inverdieneffect van het generatiepact is een reductie van het ziekteverzuim van de werknemer. Bij stap 3 kunnen het huidige en het  (verwachte) ziekteverzuimpercentage bij deelname aan het generatiepact worden ingevuld. </t>
  </si>
  <si>
    <t>NB: indien geen vervanging plaatsvindt, zet beide werktijdfactoren op 0.0000</t>
  </si>
  <si>
    <t>Op dit tabblad wordt een indicatie van de inkomensgevolgen voor de werknemer en de vervanger gepresenteerd. LET OP: Dit is een INDICATIE, waarin geen rekening wordt gehouden met specifieke omstandigheden van de werknemer of vervanger die invloed hebben op de belastingheffing (hypotheekrenteaftrek, specifieke heffingskortingen e.d.)</t>
  </si>
  <si>
    <t>N.B.: Voor een uitgebreide onderbouwing van de loonkosten, zie 'Loonkosten uitgebreid' op tablad Technische toelichting</t>
  </si>
  <si>
    <t>N.B.: Voor een uitgebreide onderbouwing van de loonkosten zie 'Inkomensgevolgen uitgebreid' op tabblad Technische toelichting.</t>
  </si>
  <si>
    <t>TABELLEN</t>
  </si>
  <si>
    <t>WAO/WIA-basispremie (Aof, incl. Wko)</t>
  </si>
  <si>
    <t>Ufo-premie</t>
  </si>
  <si>
    <t>Volledig aangesloten</t>
  </si>
  <si>
    <t>Vf ontheffing</t>
  </si>
  <si>
    <t>totaal ex Vf</t>
  </si>
  <si>
    <t>LB</t>
  </si>
  <si>
    <t>LC</t>
  </si>
  <si>
    <t>LD</t>
  </si>
  <si>
    <t>LE</t>
  </si>
  <si>
    <t>Vakantieuitkering</t>
  </si>
  <si>
    <t>A1013</t>
  </si>
  <si>
    <t>A1212</t>
  </si>
  <si>
    <t>A1313</t>
  </si>
  <si>
    <t>D1212</t>
  </si>
  <si>
    <t>D1313</t>
  </si>
  <si>
    <t>D1411</t>
  </si>
  <si>
    <t>D1512</t>
  </si>
  <si>
    <t>LB12</t>
  </si>
  <si>
    <t>LC12</t>
  </si>
  <si>
    <t>LD12</t>
  </si>
  <si>
    <t>LE12</t>
  </si>
  <si>
    <t>a</t>
  </si>
  <si>
    <t>b</t>
  </si>
  <si>
    <t>c</t>
  </si>
  <si>
    <t>d</t>
  </si>
  <si>
    <t>schaal / trede</t>
  </si>
  <si>
    <t>tredes</t>
  </si>
  <si>
    <t>FC</t>
  </si>
  <si>
    <t>DIR</t>
  </si>
  <si>
    <t>OOP</t>
  </si>
  <si>
    <t>OP</t>
  </si>
  <si>
    <t>arbeidsmarkttoelage (adj.)directeuren</t>
  </si>
  <si>
    <t>Totaal werkgeverslasten</t>
  </si>
  <si>
    <t xml:space="preserve">Voor de premies, tarieven en rekenregels is gebruikgemaakt van de meest actuele tool Werkgeverslasten Primair Onderwijs van de PO-Raad. </t>
  </si>
  <si>
    <t>Deze versie gebruikt de data uit:</t>
  </si>
  <si>
    <t>huidig</t>
  </si>
  <si>
    <t>gen</t>
  </si>
  <si>
    <t xml:space="preserve"> </t>
  </si>
  <si>
    <t>Y</t>
  </si>
  <si>
    <t>Inkoop voorwaardelijk pensioen (IVP/VPL)</t>
  </si>
  <si>
    <t>HULPTABELLEN</t>
  </si>
  <si>
    <t>TABELLEN LOONBELASTING</t>
  </si>
  <si>
    <t>max. premieloon</t>
  </si>
  <si>
    <t>t.b.v. POP-menu's: aanloopschalen</t>
  </si>
  <si>
    <t>POP-menu VfPf</t>
  </si>
  <si>
    <t>Tabel AOW-leeftijd</t>
  </si>
  <si>
    <t>Berekening deel van het jaar bij begin of einde niet bij jaarbegin of -einde</t>
  </si>
  <si>
    <t>Maanden vanaf 65</t>
  </si>
  <si>
    <t>Startjaar AOW</t>
  </si>
  <si>
    <t xml:space="preserve">Meer weten? </t>
  </si>
  <si>
    <t xml:space="preserve">Ga naar de handreiking </t>
  </si>
  <si>
    <t xml:space="preserve">De handreiking Generatiepact is een servicedocument van het Arbeidsmarktplatform PO voor werkgevers en werknemers in het primair onderwijs die onderlinge afspraken willen maken over een generatiepact. Deze rekentool is een tool om werknemers en werkgevers te ondersteunen bij het inzichtelijk maken van de financiële gevolgen. Binnen een generatiepact kunnen afspraken worden gemaakt over een:  </t>
  </si>
  <si>
    <t>generatiepact. Advies is om deze vast te leggen in een, in overleg met de (gemeenschappelijke) medezeggenschapsraad, op te stellen reglement.</t>
  </si>
  <si>
    <t>Geboortedatum werknemer</t>
  </si>
  <si>
    <t>Overige beloningscomponenten (huidig en tijdens generatiepact)</t>
  </si>
  <si>
    <t>Percentage salariskorting tijdens generatiepact</t>
  </si>
  <si>
    <t>Overige beloningscomponenten (NB: veronderstelling is hier dat dit niet wijzigt tijdens het generatiepact.)</t>
  </si>
  <si>
    <t>Deze tabbladen kunnen zichtbaar gemaakt worden via: Start - Opmaak - Weergeven en verbergen - Blad zichtbaar maken…..</t>
  </si>
  <si>
    <t>datum</t>
  </si>
  <si>
    <t>2024-2025</t>
  </si>
  <si>
    <t>poraad</t>
  </si>
  <si>
    <t>1-10-2024 (cao 2024-2025)</t>
  </si>
  <si>
    <t>Vragen? Neem contact op met het Arbeidsmarktplatform PO</t>
  </si>
  <si>
    <t xml:space="preserve">E-mail: </t>
  </si>
  <si>
    <t xml:space="preserve">info@arbeidmarktplatformpo.nl </t>
  </si>
  <si>
    <t xml:space="preserve">Tel.: </t>
  </si>
  <si>
    <t>(070) 376 57 70</t>
  </si>
  <si>
    <t>Detailberekeningen zijn te vinden op de tabbladen: Loonkosten uitgebreid en Inkomensgevolgen uitgebreid</t>
  </si>
  <si>
    <t>A1112</t>
  </si>
  <si>
    <t>D1112</t>
  </si>
  <si>
    <t>Uitgebreide technische toelichting voor beheerders</t>
  </si>
  <si>
    <t>Pop-up-menu jaren</t>
  </si>
  <si>
    <t>Pop-up-menu maanden</t>
  </si>
  <si>
    <t>Nr</t>
  </si>
  <si>
    <t>Salarisnummer</t>
  </si>
  <si>
    <t>ALGEMEEN</t>
  </si>
  <si>
    <t>B. WERKGEVERSLASTEN</t>
  </si>
  <si>
    <t>Op dit tabblad vindt de gedetailleerde berekening plaats van de loonkosten: Salaris, Werkgeverslasten en kosten eigen beleid. De berekening vindt per kalenderjaar van de binnen de looptijd van het generatiepact plaats. Indien het generatiepact gedurende een jaar start en/of eindigt worden kosten naar rato berekend. De looptijd van het generatiepact wordt zichtbaar in de reeks van jaren. Wanneer een jaar buiten de looptijd valt wordt dit aangegeven door [leeg]. Uitkomsten worden berekend per maand maar ook per jaar weergegeven. Per berekening worden de uitkomsten getotaliseerd over de volledige looptijd van het generatiepact. Die totalen worden ook weergegeven in tabblad Loonkosten de samenvatting van dit tabblad.</t>
  </si>
  <si>
    <t>nieuwe informatie wordt jaarlijks gepubliceerd eind november</t>
  </si>
  <si>
    <t>Premiepercentages en franchisebedragen 2025</t>
  </si>
  <si>
    <t>AOP sector primair onderwijs</t>
  </si>
  <si>
    <t>Pulbicatie Staatscourant</t>
  </si>
  <si>
    <t>artikel VI en VII</t>
  </si>
  <si>
    <t>gedifferentieerde-premies-wga-en-ziektewet-2025_tcm94-459883.pdf</t>
  </si>
  <si>
    <t>inkomensafhankelijke bijdrage ZVW</t>
  </si>
  <si>
    <t>Premieoverzicht Zvw | De Staat van Volksgezondheid en Zorg</t>
  </si>
  <si>
    <t>artikel V</t>
  </si>
  <si>
    <t>Premiepercentages Vf en Pf 2025 | VfPf</t>
  </si>
  <si>
    <t>Uitlooptoeslag OP, art. 6.7</t>
  </si>
  <si>
    <t>bij een normbetrekking, per maand; Bilage A9</t>
  </si>
  <si>
    <t>t/m schaal</t>
  </si>
  <si>
    <t>Arbeidsmarkttoelage directie</t>
  </si>
  <si>
    <t>art. 6.8; deze wordt niet geindexeerd.</t>
  </si>
  <si>
    <t>minimumloon</t>
  </si>
  <si>
    <t>CAO bijlage A4</t>
  </si>
  <si>
    <t>Korting alleen op bruto-salaris?</t>
  </si>
  <si>
    <t>A. SALARISGEGEVENS</t>
  </si>
  <si>
    <t>B. BRUTO-SALARIS EN OVERIGE LOONCOMPENTEN</t>
  </si>
  <si>
    <t>oktoberuitkering OOP</t>
  </si>
  <si>
    <t>oktoberuitkering</t>
  </si>
  <si>
    <t>Werkgeverlasten PO 2025</t>
  </si>
  <si>
    <t>2a</t>
  </si>
  <si>
    <t>tot € 28.406</t>
  </si>
  <si>
    <t>vanaf €76817</t>
  </si>
  <si>
    <t>vanaf € 28.406 tot € 76817</t>
  </si>
  <si>
    <t>Arbeidskorting &lt;AOW-leeftijd</t>
  </si>
  <si>
    <t>https://download.belastingdienst.nl/belastingdienst/docs/bijlage-nieuwsbrief-loonheffingen-2025-lh2091b51fd.pdf</t>
  </si>
  <si>
    <t>Bron:</t>
  </si>
  <si>
    <t>Van meer dan  tot</t>
  </si>
  <si>
    <t>Voor loon per jaar</t>
  </si>
  <si>
    <t>Tot en met</t>
  </si>
  <si>
    <t>Bedrag vorige schijf</t>
  </si>
  <si>
    <t>Jaardeel</t>
  </si>
  <si>
    <t>na 31 december 1958 en voor 1 januari 1961</t>
  </si>
  <si>
    <t>na 31 december 1958 en voor 1 januari 1962</t>
  </si>
  <si>
    <t>na 31 december 1958 en voor 1 januari 1963</t>
  </si>
  <si>
    <t>na 31 december 1958 en voor 1 januari 1964</t>
  </si>
  <si>
    <t>na 31 december 1958 en voor 1 januari 1965</t>
  </si>
  <si>
    <t>na 31 december 1958 en voor 1 januari 1966</t>
  </si>
  <si>
    <t>na 31 december 1958 en voor 1 januari 1967</t>
  </si>
  <si>
    <t>na 31 december 1958 en voor 1 januari 1968</t>
  </si>
  <si>
    <t>68 jaar</t>
  </si>
  <si>
    <t>69 jaar</t>
  </si>
  <si>
    <t>70 jaar</t>
  </si>
  <si>
    <t>71 jaar</t>
  </si>
  <si>
    <t>72 jaar</t>
  </si>
  <si>
    <t>73 jaar</t>
  </si>
  <si>
    <t>74 jaar</t>
  </si>
  <si>
    <t>75 jaar</t>
  </si>
  <si>
    <t>POP up -menu schaalnummers</t>
  </si>
  <si>
    <t>Het kalenderjaar wordt overgenomen uit het tabblad Tabellen PO-Raad</t>
  </si>
  <si>
    <t>Dit wordt via VERT.ZOEKEN opgehaald uit Tabel AOW-leeftijd hiernaast</t>
  </si>
  <si>
    <t xml:space="preserve">Deze lijst wordt gebruikt om het pop-up-menu op basis van het kalenderjaar de AOW-leeftijd te bepalen in </t>
  </si>
  <si>
    <t>C. TOTALE LOONKOSTEN</t>
  </si>
  <si>
    <t>D. KOSTEN/ OPBRENGSTEN GENERATIEPACT</t>
  </si>
  <si>
    <t>Overig</t>
  </si>
  <si>
    <t xml:space="preserve">Op dit tabblad worden alleen voor het huidige kalenderjaar de inkomensgevolgen berekend voor zowel de werknemer als de vervanger. Voor de overige jaren worden alleen het bijdrage inkomen berekend, omdat dat de grondslag is voor de werkgeverspremies werknemersverzekeringen (WAO/WIA, ZVW en UFO), zie tabblad Loonkosten uitgebreid. De bedragen </t>
  </si>
  <si>
    <t>Code verzekering Vervangingsfonds</t>
  </si>
  <si>
    <t>Oktobertoelage OOP-ers, niet in de max-trede van de schaal</t>
  </si>
  <si>
    <t>Oktobertoelage voor personen in max-trede van de schaal</t>
  </si>
  <si>
    <t>Technische toelichting voor beheerders</t>
  </si>
  <si>
    <t>SPECIFIEK</t>
  </si>
  <si>
    <t>Specieke technische toelichtingen zijn te vinden als opmerkingen bij het betreffende item.</t>
  </si>
  <si>
    <t>Arbeidskorting &gt;= AOW-leeftijd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</si>
</sst>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2" formatCode="_ &quot;€&quot;\ * #,##0_ ;_ &quot;€&quot;\ * \-#,##0_ ;_ &quot;€&quot;\ * &quot;-&quot;_ ;_ @_ "/>
    <numFmt numFmtId="44" formatCode="_ &quot;€&quot;\ * #,##0.00_ ;_ &quot;€&quot;\ * \-#,##0.00_ ;_ &quot;€&quot;\ * &quot;-&quot;??_ ;_ @_ "/>
    <numFmt numFmtId="43" formatCode="_ * #,##0.00_ ;_ * \-#,##0.00_ ;_ * &quot;-&quot;??_ ;_ @_ "/>
    <numFmt numFmtId="164" formatCode="_-&quot;fl&quot;\ * #,##0.00_-;_-&quot;fl&quot;\ * #,##0.00\-;_-&quot;fl&quot;\ * &quot;-&quot;??_-;_-@_-"/>
    <numFmt numFmtId="165" formatCode="0.0000"/>
    <numFmt numFmtId="166" formatCode="0.000%"/>
    <numFmt numFmtId="167" formatCode="0.0%"/>
    <numFmt numFmtId="168" formatCode="_-&quot;€&quot;\ * #,##0_-;_-&quot;€&quot;\ * #,##0\-;_-&quot;€&quot;\ * &quot;-&quot;??_-;_-@_-"/>
    <numFmt numFmtId="169" formatCode="d\ mmmm\ yyyy"/>
    <numFmt numFmtId="170" formatCode="_ &quot;€&quot;\ * #,##0_ ;_ &quot;€&quot;\ * \-#,##0_ ;_ &quot;€&quot;\ * &quot;-&quot;??_ ;_ @_ "/>
    <numFmt numFmtId="171" formatCode="#,##0.00_ ;\-#,##0.00\ "/>
    <numFmt numFmtId="172" formatCode="_ [$€-413]\ * #,##0.0_ ;_ [$€-413]\ * \-#,##0.0_ ;_ [$€-413]\ * &quot;-&quot;??_ ;_ @_ "/>
    <numFmt numFmtId="173" formatCode="_ [$€-413]\ * #,##0_ ;_ [$€-413]\ * \-#,##0_ ;_ [$€-413]\ * &quot;-&quot;??_ ;_ @_ "/>
    <numFmt numFmtId="174" formatCode="[$-413]d/mmm/yy;@"/>
    <numFmt numFmtId="175" formatCode="_ * #,##0.0000_ ;_ * \-#,##0.0000_ ;_ * &quot;-&quot;??_ ;_ @_ "/>
    <numFmt numFmtId="176" formatCode="_ * #,##0_ ;_ * \-#,##0_ ;_ * &quot;-&quot;??_ ;_ @_ "/>
    <numFmt numFmtId="177" formatCode="0_ ;\-0\ "/>
    <numFmt numFmtId="178" formatCode="\(0.0%\)"/>
    <numFmt numFmtId="179" formatCode="&quot;€&quot;\ #,##0.00"/>
    <numFmt numFmtId="180" formatCode="_ [$€-413]\ * #,##0.00_ ;_ [$€-413]\ * \-#,##0.00_ ;_ [$€-413]\ * &quot;-&quot;??_ ;_ @_ "/>
    <numFmt numFmtId="181" formatCode="yyyy"/>
    <numFmt numFmtId="182" formatCode="0.0000%"/>
    <numFmt numFmtId="183" formatCode="#,##0_ ;\-#,##0\ "/>
  </numFmts>
  <fonts count="148" x14ac:knownFonts="1">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9"/>
      <color indexed="81"/>
      <name val="Tahoma"/>
      <family val="2"/>
    </font>
    <font>
      <sz val="11"/>
      <name val="Calibri"/>
      <family val="2"/>
    </font>
    <font>
      <sz val="10"/>
      <name val="Calibri"/>
      <family val="2"/>
    </font>
    <font>
      <b/>
      <sz val="10"/>
      <name val="Calibri"/>
      <family val="2"/>
    </font>
    <font>
      <b/>
      <sz val="11"/>
      <name val="Calibri"/>
      <family val="2"/>
    </font>
    <font>
      <i/>
      <sz val="10"/>
      <name val="Calibri"/>
      <family val="2"/>
    </font>
    <font>
      <sz val="10"/>
      <name val="Calibri"/>
      <family val="2"/>
      <scheme val="minor"/>
    </font>
    <font>
      <sz val="11"/>
      <color theme="0" tint="-0.249977111117893"/>
      <name val="Calibri"/>
      <family val="2"/>
    </font>
    <font>
      <sz val="10"/>
      <color rgb="FFFF0000"/>
      <name val="Calibri"/>
      <family val="2"/>
    </font>
    <font>
      <b/>
      <sz val="9"/>
      <name val="Calibri"/>
      <family val="2"/>
    </font>
    <font>
      <sz val="9"/>
      <name val="Calibri"/>
      <family val="2"/>
    </font>
    <font>
      <sz val="9"/>
      <color indexed="10"/>
      <name val="Calibri"/>
      <family val="2"/>
      <scheme val="minor"/>
    </font>
    <font>
      <sz val="9"/>
      <name val="Calibri"/>
      <family val="2"/>
      <scheme val="minor"/>
    </font>
    <font>
      <sz val="9"/>
      <color indexed="8"/>
      <name val="Calibri"/>
      <family val="2"/>
      <scheme val="minor"/>
    </font>
    <font>
      <b/>
      <sz val="9"/>
      <color indexed="81"/>
      <name val="Tahoma"/>
      <family val="2"/>
    </font>
    <font>
      <i/>
      <sz val="11"/>
      <name val="Calibri"/>
      <family val="2"/>
    </font>
    <font>
      <b/>
      <sz val="9"/>
      <name val="Calibri"/>
      <family val="2"/>
      <scheme val="minor"/>
    </font>
    <font>
      <i/>
      <sz val="9"/>
      <name val="Calibri"/>
      <family val="2"/>
      <scheme val="minor"/>
    </font>
    <font>
      <b/>
      <i/>
      <sz val="9"/>
      <name val="Calibri"/>
      <family val="2"/>
      <scheme val="minor"/>
    </font>
    <font>
      <u/>
      <sz val="9"/>
      <color indexed="12"/>
      <name val="Arial"/>
      <family val="2"/>
    </font>
    <font>
      <u/>
      <sz val="9"/>
      <color indexed="12"/>
      <name val="Calibri"/>
      <family val="2"/>
      <scheme val="minor"/>
    </font>
    <font>
      <sz val="9"/>
      <color indexed="55"/>
      <name val="Calibri"/>
      <family val="2"/>
      <scheme val="minor"/>
    </font>
    <font>
      <sz val="9"/>
      <name val="Arial"/>
      <family val="2"/>
    </font>
    <font>
      <b/>
      <sz val="9"/>
      <color rgb="FFFF0000"/>
      <name val="Calibri"/>
      <family val="2"/>
      <scheme val="minor"/>
    </font>
    <font>
      <b/>
      <sz val="9"/>
      <color indexed="10"/>
      <name val="Calibri"/>
      <family val="2"/>
      <scheme val="minor"/>
    </font>
    <font>
      <sz val="9"/>
      <color rgb="FFFF0000"/>
      <name val="Calibri"/>
      <family val="2"/>
      <scheme val="minor"/>
    </font>
    <font>
      <sz val="11"/>
      <color theme="0" tint="-4.9989318521683403E-2"/>
      <name val="Calibri"/>
      <family val="2"/>
    </font>
    <font>
      <sz val="10"/>
      <name val="Arial"/>
      <family val="2"/>
    </font>
    <font>
      <sz val="11"/>
      <name val="Calibri"/>
      <family val="2"/>
      <scheme val="minor"/>
    </font>
    <font>
      <i/>
      <sz val="11"/>
      <name val="Calibri"/>
      <family val="2"/>
      <scheme val="minor"/>
    </font>
    <font>
      <b/>
      <sz val="11"/>
      <color theme="8"/>
      <name val="Calibri"/>
      <family val="2"/>
      <scheme val="minor"/>
    </font>
    <font>
      <sz val="11"/>
      <color theme="8"/>
      <name val="Calibri"/>
      <family val="2"/>
      <scheme val="minor"/>
    </font>
    <font>
      <b/>
      <sz val="11"/>
      <name val="Calibri"/>
      <family val="2"/>
      <scheme val="minor"/>
    </font>
    <font>
      <sz val="11"/>
      <name val="Arial"/>
      <family val="2"/>
    </font>
    <font>
      <b/>
      <i/>
      <sz val="11"/>
      <name val="Calibri"/>
      <family val="2"/>
    </font>
    <font>
      <sz val="11"/>
      <color indexed="8"/>
      <name val="Calibri"/>
      <family val="2"/>
    </font>
    <font>
      <b/>
      <sz val="11"/>
      <color theme="1" tint="0.34998626667073579"/>
      <name val="Calibri"/>
      <family val="2"/>
    </font>
    <font>
      <sz val="11"/>
      <color indexed="22"/>
      <name val="Calibri"/>
      <family val="2"/>
    </font>
    <font>
      <i/>
      <sz val="11"/>
      <color indexed="8"/>
      <name val="Calibri"/>
      <family val="2"/>
    </font>
    <font>
      <sz val="11"/>
      <color rgb="FFFF0000"/>
      <name val="Calibri"/>
      <family val="2"/>
    </font>
    <font>
      <sz val="11"/>
      <color theme="0"/>
      <name val="Calibri"/>
      <family val="2"/>
      <scheme val="minor"/>
    </font>
    <font>
      <b/>
      <sz val="11"/>
      <color theme="8"/>
      <name val="Calibri"/>
      <family val="2"/>
    </font>
    <font>
      <sz val="11"/>
      <color indexed="10"/>
      <name val="Calibri"/>
      <family val="2"/>
    </font>
    <font>
      <sz val="11"/>
      <color indexed="8"/>
      <name val="Calibri"/>
      <family val="2"/>
      <scheme val="minor"/>
    </font>
    <font>
      <i/>
      <sz val="11"/>
      <color theme="1" tint="0.34998626667073579"/>
      <name val="Calibri"/>
      <family val="2"/>
      <scheme val="minor"/>
    </font>
    <font>
      <sz val="11"/>
      <color theme="8"/>
      <name val="Calibri"/>
      <family val="2"/>
    </font>
    <font>
      <i/>
      <sz val="10"/>
      <color rgb="FFFF0000"/>
      <name val="Calibri"/>
      <family val="2"/>
    </font>
    <font>
      <sz val="18"/>
      <color indexed="60"/>
      <name val="Calibri"/>
      <family val="2"/>
    </font>
    <font>
      <b/>
      <sz val="11"/>
      <color theme="1"/>
      <name val="Calibri"/>
      <family val="2"/>
    </font>
    <font>
      <b/>
      <sz val="11"/>
      <name val="Arial"/>
      <family val="2"/>
    </font>
    <font>
      <b/>
      <sz val="18"/>
      <color theme="8"/>
      <name val="Calibri"/>
      <family val="2"/>
    </font>
    <font>
      <sz val="18"/>
      <color theme="8"/>
      <name val="Calibri"/>
      <family val="2"/>
    </font>
    <font>
      <i/>
      <sz val="12"/>
      <color theme="8"/>
      <name val="Calibri"/>
      <family val="2"/>
    </font>
    <font>
      <sz val="12"/>
      <color theme="8"/>
      <name val="Calibri"/>
      <family val="2"/>
    </font>
    <font>
      <b/>
      <i/>
      <sz val="11"/>
      <color theme="8"/>
      <name val="Calibri"/>
      <family val="2"/>
    </font>
    <font>
      <b/>
      <sz val="14"/>
      <color theme="8"/>
      <name val="Calibri"/>
      <family val="2"/>
    </font>
    <font>
      <sz val="14"/>
      <name val="Calibri"/>
      <family val="2"/>
    </font>
    <font>
      <sz val="14"/>
      <color theme="0" tint="-4.9989318521683403E-2"/>
      <name val="Calibri"/>
      <family val="2"/>
    </font>
    <font>
      <b/>
      <sz val="11"/>
      <color rgb="FFFF0000"/>
      <name val="Calibri"/>
      <family val="2"/>
    </font>
    <font>
      <sz val="11"/>
      <color theme="0" tint="-4.9989318521683403E-2"/>
      <name val="Calibri"/>
      <family val="2"/>
      <scheme val="minor"/>
    </font>
    <font>
      <sz val="9"/>
      <color rgb="FF0000FF"/>
      <name val="Calibri"/>
      <family val="2"/>
      <scheme val="minor"/>
    </font>
    <font>
      <i/>
      <sz val="9"/>
      <color theme="1"/>
      <name val="Calibri"/>
      <family val="2"/>
    </font>
    <font>
      <i/>
      <sz val="9"/>
      <color theme="0" tint="-4.9989318521683403E-2"/>
      <name val="Calibri"/>
      <family val="2"/>
    </font>
    <font>
      <i/>
      <sz val="9"/>
      <name val="Calibri"/>
      <family val="2"/>
    </font>
    <font>
      <b/>
      <sz val="18"/>
      <color rgb="FF1B84BE"/>
      <name val="Calibri"/>
      <family val="2"/>
      <scheme val="minor"/>
    </font>
    <font>
      <sz val="11"/>
      <color rgb="FF1B84BE"/>
      <name val="Calibri"/>
      <family val="2"/>
      <scheme val="minor"/>
    </font>
    <font>
      <sz val="11"/>
      <color rgb="FF7B8794"/>
      <name val="Calibri"/>
      <family val="2"/>
      <scheme val="minor"/>
    </font>
    <font>
      <b/>
      <sz val="11"/>
      <color rgb="FF1B84BE"/>
      <name val="Calibri"/>
      <family val="2"/>
      <scheme val="minor"/>
    </font>
    <font>
      <b/>
      <sz val="14"/>
      <color rgb="FFEAB700"/>
      <name val="Calibri"/>
      <family val="2"/>
      <scheme val="minor"/>
    </font>
    <font>
      <sz val="11"/>
      <color rgb="FF1B84BE"/>
      <name val="Calibri"/>
      <family val="2"/>
    </font>
    <font>
      <sz val="14"/>
      <color rgb="FF1B84BE"/>
      <name val="Calibri"/>
      <family val="2"/>
    </font>
    <font>
      <b/>
      <sz val="18"/>
      <color rgb="FF1B84BE"/>
      <name val="Calibri"/>
      <family val="2"/>
    </font>
    <font>
      <sz val="10"/>
      <color rgb="FF1B84BE"/>
      <name val="Arial"/>
      <family val="2"/>
    </font>
    <font>
      <sz val="18"/>
      <color rgb="FF1B84BE"/>
      <name val="Calibri"/>
      <family val="2"/>
    </font>
    <font>
      <sz val="12"/>
      <color rgb="FF1B84BE"/>
      <name val="Calibri"/>
      <family val="2"/>
    </font>
    <font>
      <i/>
      <sz val="12"/>
      <color rgb="FF1B84BE"/>
      <name val="Calibri"/>
      <family val="2"/>
    </font>
    <font>
      <b/>
      <i/>
      <sz val="12"/>
      <color rgb="FF1B84BE"/>
      <name val="Calibri"/>
      <family val="2"/>
    </font>
    <font>
      <b/>
      <i/>
      <sz val="11"/>
      <color rgb="FF1B84BE"/>
      <name val="Calibri"/>
      <family val="2"/>
    </font>
    <font>
      <b/>
      <sz val="11"/>
      <color rgb="FF1B84BE"/>
      <name val="Calibri"/>
      <family val="2"/>
    </font>
    <font>
      <b/>
      <sz val="14"/>
      <color rgb="FF1B84BE"/>
      <name val="Calibri"/>
      <family val="2"/>
    </font>
    <font>
      <sz val="10"/>
      <color rgb="FF1B84BE"/>
      <name val="Calibri"/>
      <family val="2"/>
    </font>
    <font>
      <sz val="11"/>
      <color rgb="FF1B84BE"/>
      <name val="Arial"/>
      <family val="2"/>
    </font>
    <font>
      <b/>
      <sz val="11"/>
      <color rgb="FF1B84BE"/>
      <name val="Arial"/>
      <family val="2"/>
    </font>
    <font>
      <b/>
      <sz val="16"/>
      <color rgb="FF1B84BE"/>
      <name val="Calibri"/>
      <family val="2"/>
    </font>
    <font>
      <sz val="11"/>
      <color theme="1"/>
      <name val="Calibri"/>
      <family val="2"/>
    </font>
    <font>
      <b/>
      <sz val="16"/>
      <color rgb="FF1B84BE"/>
      <name val="Calibri"/>
      <family val="2"/>
      <scheme val="minor"/>
    </font>
    <font>
      <sz val="11"/>
      <color theme="1"/>
      <name val="Arial"/>
      <family val="2"/>
    </font>
    <font>
      <sz val="11"/>
      <color rgb="FFFF0000"/>
      <name val="Calibri"/>
      <family val="2"/>
      <scheme val="minor"/>
    </font>
    <font>
      <b/>
      <sz val="11"/>
      <color theme="1"/>
      <name val="Calibri"/>
      <family val="2"/>
      <scheme val="minor"/>
    </font>
    <font>
      <sz val="10"/>
      <color theme="1"/>
      <name val="Arial"/>
      <family val="2"/>
    </font>
    <font>
      <sz val="18"/>
      <color theme="8"/>
      <name val="Calibri"/>
      <family val="2"/>
      <scheme val="minor"/>
    </font>
    <font>
      <b/>
      <sz val="18"/>
      <color theme="8"/>
      <name val="Calibri"/>
      <family val="2"/>
      <scheme val="minor"/>
    </font>
    <font>
      <sz val="12"/>
      <color theme="8"/>
      <name val="Calibri"/>
      <family val="2"/>
      <scheme val="minor"/>
    </font>
    <font>
      <sz val="10"/>
      <color rgb="FFFF0000"/>
      <name val="Calibri"/>
      <family val="2"/>
      <scheme val="minor"/>
    </font>
    <font>
      <i/>
      <sz val="11"/>
      <color indexed="8"/>
      <name val="Calibri"/>
      <family val="2"/>
      <scheme val="minor"/>
    </font>
    <font>
      <sz val="11"/>
      <color rgb="FF7030A0"/>
      <name val="Calibri"/>
      <family val="2"/>
      <scheme val="minor"/>
    </font>
    <font>
      <b/>
      <i/>
      <sz val="11"/>
      <name val="Calibri"/>
      <family val="2"/>
      <scheme val="minor"/>
    </font>
    <font>
      <b/>
      <sz val="11"/>
      <color indexed="8"/>
      <name val="Calibri"/>
      <family val="2"/>
      <scheme val="minor"/>
    </font>
    <font>
      <b/>
      <i/>
      <sz val="11"/>
      <color theme="8"/>
      <name val="Calibri"/>
      <family val="2"/>
      <scheme val="minor"/>
    </font>
    <font>
      <i/>
      <sz val="11"/>
      <color theme="1"/>
      <name val="Calibri"/>
      <family val="2"/>
      <scheme val="minor"/>
    </font>
    <font>
      <sz val="18"/>
      <color indexed="60"/>
      <name val="Calibri"/>
      <family val="2"/>
      <scheme val="minor"/>
    </font>
    <font>
      <b/>
      <i/>
      <sz val="11"/>
      <color theme="6"/>
      <name val="Calibri"/>
      <family val="2"/>
      <scheme val="minor"/>
    </font>
    <font>
      <b/>
      <i/>
      <sz val="11"/>
      <color rgb="FF1B84BE"/>
      <name val="Calibri"/>
      <family val="2"/>
      <scheme val="minor"/>
    </font>
    <font>
      <b/>
      <sz val="9"/>
      <color rgb="FF1B84BE"/>
      <name val="Calibri"/>
      <family val="2"/>
      <scheme val="minor"/>
    </font>
    <font>
      <i/>
      <sz val="11"/>
      <color theme="1"/>
      <name val="Calibri"/>
      <family val="2"/>
    </font>
    <font>
      <i/>
      <sz val="10"/>
      <color theme="1"/>
      <name val="Arial"/>
      <family val="2"/>
    </font>
    <font>
      <sz val="14"/>
      <color rgb="FFC00000"/>
      <name val="Calibri"/>
      <family val="2"/>
      <scheme val="minor"/>
    </font>
    <font>
      <b/>
      <sz val="9"/>
      <color rgb="FFC00000"/>
      <name val="Calibri"/>
      <family val="2"/>
      <scheme val="minor"/>
    </font>
    <font>
      <b/>
      <sz val="9"/>
      <color indexed="8"/>
      <name val="Calibri"/>
      <family val="2"/>
      <scheme val="minor"/>
    </font>
    <font>
      <sz val="9"/>
      <color theme="1"/>
      <name val="Calibri"/>
      <family val="2"/>
      <scheme val="minor"/>
    </font>
    <font>
      <sz val="10"/>
      <color theme="0" tint="-0.249977111117893"/>
      <name val="Calibri"/>
      <family val="2"/>
    </font>
    <font>
      <i/>
      <sz val="9"/>
      <color theme="0" tint="-0.249977111117893"/>
      <name val="Calibri"/>
      <family val="2"/>
      <scheme val="minor"/>
    </font>
    <font>
      <sz val="9"/>
      <color rgb="FFFFFF99"/>
      <name val="Calibri"/>
      <family val="2"/>
      <scheme val="minor"/>
    </font>
    <font>
      <i/>
      <sz val="14"/>
      <color theme="0" tint="-4.9989318521683403E-2"/>
      <name val="Calibri"/>
      <family val="2"/>
    </font>
    <font>
      <i/>
      <sz val="11"/>
      <color rgb="FFFF0000"/>
      <name val="Calibri"/>
      <family val="2"/>
    </font>
    <font>
      <sz val="14"/>
      <color rgb="FFFF0000"/>
      <name val="Calibri"/>
      <family val="2"/>
      <scheme val="minor"/>
    </font>
    <font>
      <sz val="9"/>
      <color indexed="81"/>
      <name val="Tahoma"/>
      <charset val="1"/>
    </font>
    <font>
      <b/>
      <sz val="9"/>
      <color indexed="81"/>
      <name val="Tahoma"/>
      <charset val="1"/>
    </font>
    <font>
      <b/>
      <i/>
      <sz val="9"/>
      <color rgb="FF1B84BE"/>
      <name val="Calibri"/>
      <family val="2"/>
      <scheme val="minor"/>
    </font>
    <font>
      <b/>
      <u/>
      <sz val="14"/>
      <color rgb="FF1B84BE"/>
      <name val="Calibri"/>
      <family val="2"/>
    </font>
    <font>
      <u/>
      <sz val="11"/>
      <color indexed="12"/>
      <name val="Calibri"/>
      <family val="2"/>
      <scheme val="minor"/>
    </font>
    <font>
      <b/>
      <u/>
      <sz val="11"/>
      <color indexed="12"/>
      <name val="Calibri"/>
      <family val="2"/>
      <scheme val="minor"/>
    </font>
    <font>
      <b/>
      <sz val="10"/>
      <name val="Arial"/>
      <family val="2"/>
    </font>
    <font>
      <u/>
      <sz val="14"/>
      <color rgb="FF1B84BE"/>
      <name val="Arial"/>
      <family val="2"/>
    </font>
    <font>
      <b/>
      <sz val="14"/>
      <color rgb="FFFF0000"/>
      <name val="Calibri"/>
      <family val="2"/>
      <scheme val="minor"/>
    </font>
    <font>
      <i/>
      <sz val="11"/>
      <color rgb="FFFF0000"/>
      <name val="Calibri"/>
      <family val="2"/>
      <scheme val="minor"/>
    </font>
    <font>
      <sz val="10"/>
      <color rgb="FFFF0000"/>
      <name val="Arial"/>
      <family val="2"/>
    </font>
    <font>
      <sz val="9"/>
      <color rgb="FFC00000"/>
      <name val="Calibri"/>
      <family val="2"/>
      <scheme val="minor"/>
    </font>
    <font>
      <b/>
      <u/>
      <sz val="11"/>
      <color rgb="FF1B84BE"/>
      <name val="Arial"/>
      <family val="2"/>
    </font>
    <font>
      <i/>
      <sz val="14"/>
      <color rgb="FFFF0000"/>
      <name val="Calibri"/>
      <family val="2"/>
      <scheme val="minor"/>
    </font>
    <font>
      <sz val="9"/>
      <color theme="0" tint="-0.14999847407452621"/>
      <name val="Calibri"/>
      <family val="2"/>
      <scheme val="minor"/>
    </font>
    <font>
      <sz val="9"/>
      <color rgb="FFFC4861"/>
      <name val="Calibri"/>
      <family val="2"/>
      <scheme val="minor"/>
    </font>
    <font>
      <sz val="10"/>
      <color rgb="FFFC4861"/>
      <name val="Arial"/>
      <family val="2"/>
    </font>
    <font>
      <b/>
      <sz val="10"/>
      <color rgb="FF1B84BE"/>
      <name val="Arial"/>
      <family val="2"/>
    </font>
    <font>
      <sz val="14"/>
      <color rgb="FFFF0000"/>
      <name val="Calibri"/>
      <family val="2"/>
    </font>
    <font>
      <sz val="10"/>
      <color theme="0"/>
      <name val="Calibri"/>
      <family val="2"/>
    </font>
    <font>
      <sz val="11"/>
      <color theme="0"/>
      <name val="Calibri"/>
      <family val="2"/>
    </font>
    <font>
      <sz val="18"/>
      <color theme="0"/>
      <name val="Calibri"/>
      <family val="2"/>
    </font>
    <font>
      <sz val="12"/>
      <color theme="0"/>
      <name val="Calibri"/>
      <family val="2"/>
    </font>
    <font>
      <b/>
      <sz val="11"/>
      <color theme="0"/>
      <name val="Calibri"/>
      <family val="2"/>
    </font>
    <font>
      <b/>
      <i/>
      <sz val="11"/>
      <color theme="0"/>
      <name val="Calibri"/>
      <family val="2"/>
    </font>
    <font>
      <i/>
      <sz val="11"/>
      <color theme="0"/>
      <name val="Calibri"/>
      <family val="2"/>
    </font>
    <font>
      <sz val="10"/>
      <color theme="0"/>
      <name val="Arial"/>
      <family val="2"/>
    </font>
  </fonts>
  <fills count="13">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99CCFF"/>
        <bgColor indexed="64"/>
      </patternFill>
    </fill>
    <fill>
      <patternFill patternType="solid">
        <fgColor rgb="FFEAB7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00"/>
        <bgColor indexed="64"/>
      </patternFill>
    </fill>
  </fills>
  <borders count="59">
    <border>
      <left/>
      <right/>
      <top/>
      <bottom/>
      <diagonal/>
    </border>
    <border>
      <left style="thin">
        <color indexed="64"/>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right style="thin">
        <color theme="0" tint="-4.9989318521683403E-2"/>
      </right>
      <top/>
      <bottom/>
      <diagonal/>
    </border>
    <border>
      <left style="thin">
        <color theme="0" tint="-4.9989318521683403E-2"/>
      </left>
      <right style="thin">
        <color theme="0" tint="-4.9989318521683403E-2"/>
      </right>
      <top/>
      <bottom style="thin">
        <color theme="0" tint="-4.9989318521683403E-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rgb="FF1B84BE"/>
      </left>
      <right style="thin">
        <color rgb="FF1B84BE"/>
      </right>
      <top style="thin">
        <color rgb="FF1B84BE"/>
      </top>
      <bottom style="thin">
        <color rgb="FF1B84BE"/>
      </bottom>
      <diagonal/>
    </border>
    <border>
      <left style="thick">
        <color rgb="FF1B84BE"/>
      </left>
      <right/>
      <top style="thick">
        <color rgb="FF1B84BE"/>
      </top>
      <bottom/>
      <diagonal/>
    </border>
    <border>
      <left/>
      <right/>
      <top style="thick">
        <color rgb="FF1B84BE"/>
      </top>
      <bottom/>
      <diagonal/>
    </border>
    <border>
      <left/>
      <right style="thick">
        <color rgb="FF1B84BE"/>
      </right>
      <top style="thick">
        <color rgb="FF1B84BE"/>
      </top>
      <bottom/>
      <diagonal/>
    </border>
    <border>
      <left style="thick">
        <color rgb="FF1B84BE"/>
      </left>
      <right/>
      <top/>
      <bottom/>
      <diagonal/>
    </border>
    <border>
      <left/>
      <right style="thick">
        <color rgb="FF1B84BE"/>
      </right>
      <top/>
      <bottom/>
      <diagonal/>
    </border>
    <border>
      <left style="thick">
        <color rgb="FF1B84BE"/>
      </left>
      <right/>
      <top/>
      <bottom style="thick">
        <color rgb="FF1B84BE"/>
      </bottom>
      <diagonal/>
    </border>
    <border>
      <left/>
      <right/>
      <top/>
      <bottom style="thick">
        <color rgb="FF1B84BE"/>
      </bottom>
      <diagonal/>
    </border>
    <border>
      <left/>
      <right style="thick">
        <color rgb="FF1B84BE"/>
      </right>
      <top/>
      <bottom style="thick">
        <color rgb="FF1B84BE"/>
      </bottom>
      <diagonal/>
    </border>
    <border>
      <left style="thin">
        <color rgb="FF1B84BE"/>
      </left>
      <right/>
      <top style="thin">
        <color rgb="FF1B84BE"/>
      </top>
      <bottom style="thin">
        <color rgb="FF1B84BE"/>
      </bottom>
      <diagonal/>
    </border>
    <border>
      <left/>
      <right style="thin">
        <color rgb="FF1B84BE"/>
      </right>
      <top style="thin">
        <color rgb="FF1B84BE"/>
      </top>
      <bottom style="thin">
        <color rgb="FF1B84BE"/>
      </bottom>
      <diagonal/>
    </border>
    <border>
      <left style="thin">
        <color rgb="FF1B84BE"/>
      </left>
      <right style="thin">
        <color rgb="FF1B84BE"/>
      </right>
      <top style="thin">
        <color rgb="FF1B84BE"/>
      </top>
      <bottom style="thin">
        <color theme="8"/>
      </bottom>
      <diagonal/>
    </border>
    <border>
      <left style="thin">
        <color rgb="FF1B84BE"/>
      </left>
      <right style="thin">
        <color rgb="FF1B84BE"/>
      </right>
      <top style="thin">
        <color theme="8"/>
      </top>
      <bottom style="thin">
        <color theme="8"/>
      </bottom>
      <diagonal/>
    </border>
    <border>
      <left style="thin">
        <color rgb="FF1B84BE"/>
      </left>
      <right style="thin">
        <color rgb="FF1B84BE"/>
      </right>
      <top style="thin">
        <color theme="2" tint="-0.24994659260841701"/>
      </top>
      <bottom style="thin">
        <color theme="2" tint="-0.24994659260841701"/>
      </bottom>
      <diagonal/>
    </border>
    <border>
      <left style="thin">
        <color rgb="FF1B84BE"/>
      </left>
      <right style="thin">
        <color rgb="FF1B84BE"/>
      </right>
      <top style="thin">
        <color theme="2" tint="-0.24994659260841701"/>
      </top>
      <bottom style="thin">
        <color rgb="FF1B84BE"/>
      </bottom>
      <diagonal/>
    </border>
    <border>
      <left style="thin">
        <color rgb="FF1B84BE"/>
      </left>
      <right style="thin">
        <color rgb="FF1B84BE"/>
      </right>
      <top style="thin">
        <color rgb="FF1B84BE"/>
      </top>
      <bottom style="thin">
        <color rgb="FF00B0F0"/>
      </bottom>
      <diagonal/>
    </border>
    <border>
      <left style="thin">
        <color rgb="FF1B84BE"/>
      </left>
      <right style="thin">
        <color theme="8"/>
      </right>
      <top style="thin">
        <color theme="8"/>
      </top>
      <bottom style="thin">
        <color theme="8"/>
      </bottom>
      <diagonal/>
    </border>
    <border>
      <left style="thin">
        <color theme="8"/>
      </left>
      <right style="thin">
        <color rgb="FF1B84BE"/>
      </right>
      <top style="thin">
        <color theme="8"/>
      </top>
      <bottom style="thin">
        <color theme="8"/>
      </bottom>
      <diagonal/>
    </border>
    <border>
      <left style="thin">
        <color rgb="FF1B84BE"/>
      </left>
      <right style="thin">
        <color theme="8"/>
      </right>
      <top style="thin">
        <color theme="8"/>
      </top>
      <bottom style="thin">
        <color rgb="FF1B84BE"/>
      </bottom>
      <diagonal/>
    </border>
    <border>
      <left style="thin">
        <color theme="8"/>
      </left>
      <right style="thin">
        <color rgb="FF1B84BE"/>
      </right>
      <top style="thin">
        <color theme="8"/>
      </top>
      <bottom style="thin">
        <color rgb="FF1B84BE"/>
      </bottom>
      <diagonal/>
    </border>
    <border>
      <left style="thin">
        <color rgb="FF1B84BE"/>
      </left>
      <right style="thin">
        <color theme="8"/>
      </right>
      <top style="thin">
        <color rgb="FF1B84BE"/>
      </top>
      <bottom style="thin">
        <color rgb="FF1B84BE"/>
      </bottom>
      <diagonal/>
    </border>
    <border>
      <left style="thin">
        <color theme="8"/>
      </left>
      <right style="thin">
        <color rgb="FF1B84BE"/>
      </right>
      <top style="thin">
        <color rgb="FF1B84BE"/>
      </top>
      <bottom style="thin">
        <color rgb="FF1B84BE"/>
      </bottom>
      <diagonal/>
    </border>
    <border>
      <left style="thick">
        <color rgb="FFEAB700"/>
      </left>
      <right/>
      <top style="thick">
        <color rgb="FFEAB700"/>
      </top>
      <bottom/>
      <diagonal/>
    </border>
    <border>
      <left/>
      <right/>
      <top style="thick">
        <color rgb="FFEAB700"/>
      </top>
      <bottom/>
      <diagonal/>
    </border>
    <border>
      <left/>
      <right style="thick">
        <color rgb="FFEAB700"/>
      </right>
      <top style="thick">
        <color rgb="FFEAB700"/>
      </top>
      <bottom/>
      <diagonal/>
    </border>
    <border>
      <left style="thick">
        <color rgb="FFEAB700"/>
      </left>
      <right/>
      <top/>
      <bottom/>
      <diagonal/>
    </border>
    <border>
      <left/>
      <right style="thick">
        <color rgb="FFEAB700"/>
      </right>
      <top/>
      <bottom/>
      <diagonal/>
    </border>
    <border>
      <left style="thick">
        <color rgb="FFEAB700"/>
      </left>
      <right/>
      <top/>
      <bottom style="thick">
        <color rgb="FFEAB700"/>
      </bottom>
      <diagonal/>
    </border>
    <border>
      <left/>
      <right/>
      <top/>
      <bottom style="thick">
        <color rgb="FFEAB700"/>
      </bottom>
      <diagonal/>
    </border>
    <border>
      <left/>
      <right style="thick">
        <color rgb="FFEAB700"/>
      </right>
      <top/>
      <bottom style="thick">
        <color rgb="FFEAB700"/>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style="medium">
        <color theme="0" tint="-4.9989318521683403E-2"/>
      </right>
      <top style="medium">
        <color theme="0" tint="-4.9989318521683403E-2"/>
      </top>
      <bottom style="thin">
        <color theme="0" tint="-4.9989318521683403E-2"/>
      </bottom>
      <diagonal/>
    </border>
    <border>
      <left style="medium">
        <color theme="0" tint="-4.9989318521683403E-2"/>
      </left>
      <right style="medium">
        <color theme="0" tint="-4.9989318521683403E-2"/>
      </right>
      <top style="thin">
        <color theme="0" tint="-4.9989318521683403E-2"/>
      </top>
      <bottom style="medium">
        <color theme="0" tint="-4.9989318521683403E-2"/>
      </bottom>
      <diagonal/>
    </border>
    <border>
      <left style="thin">
        <color rgb="FF1B84BE"/>
      </left>
      <right style="thin">
        <color indexed="64"/>
      </right>
      <top style="thin">
        <color rgb="FF1B84BE"/>
      </top>
      <bottom style="thin">
        <color rgb="FF1B84BE"/>
      </bottom>
      <diagonal/>
    </border>
    <border>
      <left style="thin">
        <color indexed="64"/>
      </left>
      <right style="thin">
        <color rgb="FF1B84BE"/>
      </right>
      <top style="thin">
        <color rgb="FF1B84BE"/>
      </top>
      <bottom style="thin">
        <color rgb="FF1B84BE"/>
      </bottom>
      <diagonal/>
    </border>
    <border>
      <left style="thick">
        <color theme="0" tint="-4.9989318521683403E-2"/>
      </left>
      <right style="thin">
        <color theme="2" tint="-0.24994659260841701"/>
      </right>
      <top style="thick">
        <color theme="0" tint="-4.9989318521683403E-2"/>
      </top>
      <bottom style="thick">
        <color theme="0" tint="-4.9989318521683403E-2"/>
      </bottom>
      <diagonal/>
    </border>
    <border>
      <left style="thin">
        <color theme="2" tint="-0.24994659260841701"/>
      </left>
      <right style="thick">
        <color theme="0" tint="-4.9989318521683403E-2"/>
      </right>
      <top style="thick">
        <color theme="0" tint="-4.9989318521683403E-2"/>
      </top>
      <bottom style="thick">
        <color theme="0" tint="-4.9989318521683403E-2"/>
      </bottom>
      <diagonal/>
    </border>
    <border>
      <left style="thick">
        <color theme="0" tint="-4.9989318521683403E-2"/>
      </left>
      <right style="thick">
        <color theme="0" tint="-4.9989318521683403E-2"/>
      </right>
      <top style="thick">
        <color theme="0" tint="-4.9989318521683403E-2"/>
      </top>
      <bottom style="thick">
        <color theme="0" tint="-4.9989318521683403E-2"/>
      </bottom>
      <diagonal/>
    </border>
    <border>
      <left style="thick">
        <color theme="0" tint="-4.9989318521683403E-2"/>
      </left>
      <right style="thick">
        <color theme="0" tint="-4.9989318521683403E-2"/>
      </right>
      <top style="thick">
        <color theme="0" tint="-4.9989318521683403E-2"/>
      </top>
      <bottom/>
      <diagonal/>
    </border>
    <border>
      <left style="thick">
        <color theme="0" tint="-4.9989318521683403E-2"/>
      </left>
      <right/>
      <top style="thick">
        <color theme="0" tint="-4.9989318521683403E-2"/>
      </top>
      <bottom style="thick">
        <color theme="0" tint="-4.9989318521683403E-2"/>
      </bottom>
      <diagonal/>
    </border>
    <border>
      <left/>
      <right style="thick">
        <color theme="0" tint="-4.9989318521683403E-2"/>
      </right>
      <top style="thick">
        <color theme="0" tint="-4.9989318521683403E-2"/>
      </top>
      <bottom style="thick">
        <color theme="0" tint="-4.9989318521683403E-2"/>
      </bottom>
      <diagonal/>
    </border>
    <border>
      <left style="thin">
        <color theme="4"/>
      </left>
      <right/>
      <top/>
      <bottom/>
      <diagonal/>
    </border>
  </borders>
  <cellStyleXfs count="6">
    <xf numFmtId="0" fontId="0" fillId="0" borderId="0"/>
    <xf numFmtId="0" fontId="4" fillId="0" borderId="0" applyNumberFormat="0" applyFill="0" applyBorder="0" applyAlignment="0" applyProtection="0">
      <alignment vertical="top"/>
      <protection locked="0"/>
    </xf>
    <xf numFmtId="9" fontId="3" fillId="0" borderId="0" applyFont="0" applyFill="0" applyBorder="0" applyAlignment="0" applyProtection="0"/>
    <xf numFmtId="164" fontId="3" fillId="0" borderId="0" applyFont="0" applyFill="0" applyBorder="0" applyAlignment="0" applyProtection="0"/>
    <xf numFmtId="0" fontId="3" fillId="0" borderId="0"/>
    <xf numFmtId="43" fontId="32" fillId="0" borderId="0" applyFont="0" applyFill="0" applyBorder="0" applyAlignment="0" applyProtection="0"/>
  </cellStyleXfs>
  <cellXfs count="605">
    <xf numFmtId="0" fontId="0" fillId="0" borderId="0" xfId="0"/>
    <xf numFmtId="0" fontId="17" fillId="0" borderId="0" xfId="0" applyFont="1" applyAlignment="1" applyProtection="1">
      <alignment horizontal="left"/>
    </xf>
    <xf numFmtId="0" fontId="22" fillId="0" borderId="0" xfId="0" applyFont="1" applyAlignment="1" applyProtection="1">
      <alignment horizontal="center"/>
    </xf>
    <xf numFmtId="0" fontId="21" fillId="0" borderId="0" xfId="0" applyFont="1" applyAlignment="1" applyProtection="1">
      <alignment horizontal="left"/>
    </xf>
    <xf numFmtId="10" fontId="17" fillId="0" borderId="0" xfId="0" applyNumberFormat="1" applyFont="1" applyAlignment="1" applyProtection="1">
      <alignment horizontal="left"/>
    </xf>
    <xf numFmtId="0" fontId="25" fillId="0" borderId="0" xfId="1" applyFont="1" applyAlignment="1" applyProtection="1">
      <alignment horizontal="left"/>
    </xf>
    <xf numFmtId="10" fontId="24" fillId="0" borderId="0" xfId="1" applyNumberFormat="1" applyFont="1" applyAlignment="1" applyProtection="1">
      <alignment horizontal="left"/>
    </xf>
    <xf numFmtId="3" fontId="25" fillId="0" borderId="0" xfId="1" applyNumberFormat="1" applyFont="1" applyAlignment="1" applyProtection="1">
      <alignment horizontal="left"/>
    </xf>
    <xf numFmtId="0" fontId="17" fillId="0" borderId="0" xfId="0" applyFont="1" applyFill="1" applyAlignment="1" applyProtection="1">
      <alignment horizontal="left"/>
    </xf>
    <xf numFmtId="0" fontId="17" fillId="0" borderId="0" xfId="0" applyFont="1" applyAlignment="1" applyProtection="1">
      <alignment horizontal="right"/>
    </xf>
    <xf numFmtId="166" fontId="17" fillId="0" borderId="0" xfId="0" applyNumberFormat="1" applyFont="1" applyAlignment="1" applyProtection="1">
      <alignment horizontal="left"/>
    </xf>
    <xf numFmtId="0" fontId="7" fillId="6" borderId="0" xfId="0" applyFont="1" applyFill="1" applyBorder="1" applyAlignment="1" applyProtection="1">
      <alignment vertical="top"/>
    </xf>
    <xf numFmtId="0" fontId="6" fillId="2" borderId="0" xfId="0" applyFont="1" applyFill="1" applyBorder="1" applyAlignment="1" applyProtection="1">
      <alignment vertical="top"/>
    </xf>
    <xf numFmtId="0" fontId="6" fillId="2" borderId="0" xfId="0" applyFont="1" applyFill="1" applyBorder="1" applyAlignment="1" applyProtection="1">
      <alignment horizontal="center" vertical="top"/>
    </xf>
    <xf numFmtId="14" fontId="6" fillId="2" borderId="0" xfId="0" applyNumberFormat="1" applyFont="1" applyFill="1" applyBorder="1" applyAlignment="1" applyProtection="1">
      <alignment horizontal="center" vertical="top"/>
    </xf>
    <xf numFmtId="0" fontId="8" fillId="6" borderId="0" xfId="0" applyFont="1" applyFill="1" applyBorder="1" applyAlignment="1" applyProtection="1">
      <alignment vertical="top"/>
    </xf>
    <xf numFmtId="0" fontId="7" fillId="4" borderId="0" xfId="0" applyFont="1" applyFill="1" applyBorder="1" applyAlignment="1" applyProtection="1">
      <alignment vertical="top"/>
    </xf>
    <xf numFmtId="0" fontId="6" fillId="4" borderId="0" xfId="0" applyFont="1" applyFill="1" applyBorder="1" applyAlignment="1" applyProtection="1">
      <alignment vertical="top"/>
    </xf>
    <xf numFmtId="173" fontId="17" fillId="0" borderId="0" xfId="3" applyNumberFormat="1" applyFont="1" applyAlignment="1" applyProtection="1">
      <alignment horizontal="left"/>
    </xf>
    <xf numFmtId="172" fontId="17" fillId="0" borderId="0" xfId="0" applyNumberFormat="1" applyFont="1" applyAlignment="1" applyProtection="1">
      <alignment horizontal="left"/>
    </xf>
    <xf numFmtId="173" fontId="17" fillId="0" borderId="0" xfId="0" applyNumberFormat="1" applyFont="1" applyAlignment="1" applyProtection="1">
      <alignment horizontal="left"/>
    </xf>
    <xf numFmtId="3" fontId="30" fillId="0" borderId="0" xfId="0" applyNumberFormat="1" applyFont="1" applyFill="1" applyBorder="1" applyAlignment="1" applyProtection="1">
      <alignment horizontal="left"/>
    </xf>
    <xf numFmtId="3" fontId="18" fillId="0" borderId="0" xfId="0" applyNumberFormat="1" applyFont="1" applyFill="1" applyBorder="1" applyAlignment="1" applyProtection="1">
      <alignment horizontal="left"/>
    </xf>
    <xf numFmtId="0" fontId="22" fillId="0" borderId="0" xfId="0" applyFont="1" applyFill="1" applyAlignment="1" applyProtection="1">
      <alignment horizontal="center"/>
    </xf>
    <xf numFmtId="166" fontId="17" fillId="0" borderId="0" xfId="0" applyNumberFormat="1" applyFont="1" applyAlignment="1" applyProtection="1">
      <alignment horizontal="right"/>
    </xf>
    <xf numFmtId="173" fontId="17" fillId="0" borderId="0" xfId="2" applyNumberFormat="1" applyFont="1" applyAlignment="1" applyProtection="1">
      <alignment horizontal="left"/>
    </xf>
    <xf numFmtId="0" fontId="6" fillId="6" borderId="0" xfId="0" applyFont="1" applyFill="1" applyBorder="1" applyAlignment="1" applyProtection="1">
      <alignment vertical="top"/>
    </xf>
    <xf numFmtId="0" fontId="6" fillId="6" borderId="0" xfId="0" applyFont="1" applyFill="1" applyBorder="1" applyAlignment="1" applyProtection="1">
      <alignment horizontal="center" vertical="top"/>
    </xf>
    <xf numFmtId="0" fontId="9" fillId="6" borderId="0" xfId="0" applyFont="1" applyFill="1" applyBorder="1" applyAlignment="1" applyProtection="1">
      <alignment vertical="top"/>
    </xf>
    <xf numFmtId="0" fontId="31" fillId="6" borderId="0" xfId="0" applyFont="1" applyFill="1" applyBorder="1" applyAlignment="1" applyProtection="1">
      <alignment vertical="top"/>
    </xf>
    <xf numFmtId="0" fontId="31" fillId="6" borderId="0" xfId="0" applyFont="1" applyFill="1" applyBorder="1" applyAlignment="1" applyProtection="1">
      <alignment horizontal="center" vertical="top"/>
    </xf>
    <xf numFmtId="0" fontId="8" fillId="4" borderId="0" xfId="0" applyFont="1" applyFill="1" applyBorder="1" applyAlignment="1" applyProtection="1">
      <alignment vertical="top"/>
    </xf>
    <xf numFmtId="0" fontId="13" fillId="4" borderId="0" xfId="0" applyFont="1" applyFill="1" applyBorder="1" applyAlignment="1" applyProtection="1">
      <alignment vertical="top"/>
    </xf>
    <xf numFmtId="0" fontId="10" fillId="4" borderId="0" xfId="0" applyFont="1" applyFill="1" applyBorder="1" applyAlignment="1" applyProtection="1">
      <alignment vertical="top"/>
    </xf>
    <xf numFmtId="0" fontId="31" fillId="4" borderId="0" xfId="0" applyFont="1" applyFill="1" applyBorder="1" applyAlignment="1" applyProtection="1">
      <alignment vertical="top"/>
    </xf>
    <xf numFmtId="0" fontId="6" fillId="4" borderId="0" xfId="0" applyFont="1" applyFill="1" applyBorder="1" applyAlignment="1" applyProtection="1">
      <alignment horizontal="center" vertical="top"/>
    </xf>
    <xf numFmtId="0" fontId="33" fillId="4" borderId="0" xfId="0" applyFont="1" applyFill="1"/>
    <xf numFmtId="0" fontId="33" fillId="6" borderId="0" xfId="0" applyFont="1" applyFill="1" applyBorder="1"/>
    <xf numFmtId="0" fontId="33" fillId="4" borderId="0" xfId="0" applyFont="1" applyFill="1" applyBorder="1"/>
    <xf numFmtId="0" fontId="33" fillId="6" borderId="0" xfId="0" applyFont="1" applyFill="1" applyBorder="1" applyAlignment="1">
      <alignment vertical="top"/>
    </xf>
    <xf numFmtId="0" fontId="33" fillId="4" borderId="0" xfId="0" applyFont="1" applyFill="1" applyBorder="1" applyAlignment="1">
      <alignment vertical="top"/>
    </xf>
    <xf numFmtId="0" fontId="34" fillId="6" borderId="0" xfId="0" applyFont="1" applyFill="1" applyBorder="1" applyAlignment="1" applyProtection="1">
      <alignment vertical="top"/>
    </xf>
    <xf numFmtId="0" fontId="20" fillId="6" borderId="0" xfId="0" applyFont="1" applyFill="1" applyBorder="1" applyAlignment="1" applyProtection="1">
      <alignment vertical="top"/>
    </xf>
    <xf numFmtId="0" fontId="39" fillId="6" borderId="0" xfId="0" applyFont="1" applyFill="1" applyBorder="1" applyAlignment="1" applyProtection="1">
      <alignment vertical="top"/>
    </xf>
    <xf numFmtId="0" fontId="40" fillId="6" borderId="0" xfId="0" applyFont="1" applyFill="1" applyBorder="1" applyAlignment="1" applyProtection="1">
      <alignment horizontal="center" vertical="top"/>
    </xf>
    <xf numFmtId="0" fontId="40" fillId="6" borderId="0" xfId="0" applyFont="1" applyFill="1" applyBorder="1" applyAlignment="1" applyProtection="1">
      <alignment vertical="top"/>
    </xf>
    <xf numFmtId="1" fontId="6" fillId="6" borderId="0" xfId="0" applyNumberFormat="1" applyFont="1" applyFill="1" applyBorder="1" applyAlignment="1" applyProtection="1">
      <alignment vertical="top"/>
    </xf>
    <xf numFmtId="0" fontId="41" fillId="6" borderId="0" xfId="0" applyFont="1" applyFill="1" applyBorder="1" applyAlignment="1" applyProtection="1">
      <alignment vertical="top"/>
    </xf>
    <xf numFmtId="0" fontId="42" fillId="6" borderId="0" xfId="0" applyFont="1" applyFill="1" applyBorder="1" applyAlignment="1" applyProtection="1">
      <alignment vertical="top"/>
    </xf>
    <xf numFmtId="9" fontId="40" fillId="6" borderId="0" xfId="2" applyFont="1" applyFill="1" applyBorder="1" applyAlignment="1" applyProtection="1">
      <alignment horizontal="center" vertical="top"/>
    </xf>
    <xf numFmtId="165" fontId="6" fillId="6" borderId="0" xfId="0" applyNumberFormat="1" applyFont="1" applyFill="1" applyBorder="1" applyAlignment="1" applyProtection="1">
      <alignment horizontal="center" vertical="top"/>
    </xf>
    <xf numFmtId="168" fontId="6" fillId="6" borderId="0" xfId="0" applyNumberFormat="1" applyFont="1" applyFill="1" applyBorder="1" applyAlignment="1" applyProtection="1">
      <alignment horizontal="center" vertical="top"/>
    </xf>
    <xf numFmtId="0" fontId="6" fillId="4" borderId="0" xfId="0" applyFont="1" applyFill="1"/>
    <xf numFmtId="0" fontId="6" fillId="4" borderId="0" xfId="0" applyFont="1" applyFill="1" applyBorder="1"/>
    <xf numFmtId="0" fontId="6" fillId="6" borderId="0" xfId="0" applyFont="1" applyFill="1" applyBorder="1"/>
    <xf numFmtId="0" fontId="6" fillId="6" borderId="0" xfId="0" quotePrefix="1" applyFont="1" applyFill="1" applyBorder="1"/>
    <xf numFmtId="0" fontId="38" fillId="4" borderId="0" xfId="0" applyFont="1" applyFill="1"/>
    <xf numFmtId="0" fontId="33" fillId="4" borderId="0" xfId="0" applyFont="1" applyFill="1" applyAlignment="1">
      <alignment vertical="top"/>
    </xf>
    <xf numFmtId="0" fontId="33" fillId="0" borderId="0" xfId="0" applyFont="1"/>
    <xf numFmtId="0" fontId="34" fillId="6" borderId="2" xfId="0" applyFont="1" applyFill="1" applyBorder="1" applyAlignment="1" applyProtection="1">
      <alignment vertical="top"/>
    </xf>
    <xf numFmtId="0" fontId="33" fillId="6" borderId="3" xfId="0" applyFont="1" applyFill="1" applyBorder="1" applyAlignment="1" applyProtection="1">
      <alignment vertical="top"/>
    </xf>
    <xf numFmtId="0" fontId="34" fillId="6" borderId="5" xfId="0" applyFont="1" applyFill="1" applyBorder="1" applyAlignment="1" applyProtection="1">
      <alignment vertical="top"/>
    </xf>
    <xf numFmtId="0" fontId="33" fillId="6" borderId="2" xfId="0" applyFont="1" applyFill="1" applyBorder="1" applyAlignment="1" applyProtection="1">
      <alignment vertical="top"/>
    </xf>
    <xf numFmtId="0" fontId="34" fillId="6" borderId="8" xfId="0" applyFont="1" applyFill="1" applyBorder="1" applyAlignment="1" applyProtection="1">
      <alignment vertical="top"/>
    </xf>
    <xf numFmtId="0" fontId="48" fillId="6" borderId="9" xfId="0" applyFont="1" applyFill="1" applyBorder="1" applyAlignment="1" applyProtection="1">
      <alignment horizontal="center" vertical="top"/>
    </xf>
    <xf numFmtId="0" fontId="49" fillId="6" borderId="2" xfId="0" applyFont="1" applyFill="1" applyBorder="1" applyAlignment="1" applyProtection="1">
      <alignment vertical="top"/>
    </xf>
    <xf numFmtId="0" fontId="45" fillId="4" borderId="0" xfId="0" applyFont="1" applyFill="1"/>
    <xf numFmtId="0" fontId="33" fillId="6" borderId="5" xfId="0" applyFont="1" applyFill="1" applyBorder="1" applyAlignment="1" applyProtection="1">
      <alignment vertical="top"/>
    </xf>
    <xf numFmtId="0" fontId="50" fillId="4" borderId="0" xfId="0" applyFont="1" applyFill="1" applyAlignment="1"/>
    <xf numFmtId="0" fontId="50" fillId="4" borderId="0" xfId="0" applyFont="1" applyFill="1" applyBorder="1" applyAlignment="1"/>
    <xf numFmtId="0" fontId="6" fillId="6" borderId="0" xfId="0" applyFont="1" applyFill="1" applyBorder="1" applyAlignment="1">
      <alignment vertical="top" wrapText="1"/>
    </xf>
    <xf numFmtId="0" fontId="6" fillId="4" borderId="0" xfId="0" applyFont="1" applyFill="1" applyBorder="1" applyAlignment="1">
      <alignment vertical="top" wrapText="1"/>
    </xf>
    <xf numFmtId="0" fontId="6" fillId="4" borderId="0" xfId="0" applyFont="1" applyFill="1" applyBorder="1" applyAlignment="1"/>
    <xf numFmtId="0" fontId="46" fillId="6" borderId="0" xfId="0" applyFont="1" applyFill="1" applyBorder="1"/>
    <xf numFmtId="0" fontId="6" fillId="6" borderId="0" xfId="0" applyFont="1" applyFill="1" applyBorder="1" applyAlignment="1"/>
    <xf numFmtId="0" fontId="44" fillId="4" borderId="0" xfId="0" applyFont="1" applyFill="1" applyBorder="1" applyAlignment="1" applyProtection="1">
      <alignment vertical="top"/>
    </xf>
    <xf numFmtId="0" fontId="51" fillId="4" borderId="0" xfId="0" applyFont="1" applyFill="1" applyBorder="1" applyAlignment="1" applyProtection="1">
      <alignment vertical="top"/>
    </xf>
    <xf numFmtId="0" fontId="31" fillId="4" borderId="0" xfId="0" applyFont="1" applyFill="1" applyBorder="1" applyAlignment="1" applyProtection="1">
      <alignment horizontal="center" vertical="top"/>
    </xf>
    <xf numFmtId="14" fontId="6" fillId="4" borderId="0" xfId="0" applyNumberFormat="1" applyFont="1" applyFill="1" applyBorder="1" applyAlignment="1" applyProtection="1">
      <alignment horizontal="center" vertical="top"/>
    </xf>
    <xf numFmtId="0" fontId="9" fillId="4" borderId="0" xfId="0" applyFont="1" applyFill="1" applyBorder="1" applyAlignment="1" applyProtection="1">
      <alignment vertical="top"/>
    </xf>
    <xf numFmtId="0" fontId="41" fillId="4" borderId="0" xfId="0" applyFont="1" applyFill="1" applyBorder="1" applyAlignment="1" applyProtection="1">
      <alignment vertical="top"/>
    </xf>
    <xf numFmtId="0" fontId="39" fillId="4" borderId="0" xfId="0" applyFont="1" applyFill="1" applyBorder="1" applyAlignment="1" applyProtection="1">
      <alignment vertical="top"/>
    </xf>
    <xf numFmtId="0" fontId="20" fillId="4" borderId="0" xfId="0" applyFont="1" applyFill="1" applyBorder="1" applyAlignment="1" applyProtection="1">
      <alignment vertical="top"/>
    </xf>
    <xf numFmtId="0" fontId="36" fillId="4" borderId="0" xfId="0" applyFont="1" applyFill="1" applyAlignment="1"/>
    <xf numFmtId="0" fontId="20" fillId="6" borderId="0" xfId="0" applyFont="1" applyFill="1" applyBorder="1"/>
    <xf numFmtId="0" fontId="20" fillId="6" borderId="0" xfId="0" applyFont="1" applyFill="1" applyBorder="1" applyAlignment="1">
      <alignment vertical="top"/>
    </xf>
    <xf numFmtId="0" fontId="9" fillId="6" borderId="0" xfId="0" applyFont="1" applyFill="1" applyBorder="1"/>
    <xf numFmtId="0" fontId="20" fillId="6" borderId="0" xfId="0" quotePrefix="1" applyFont="1" applyFill="1" applyBorder="1"/>
    <xf numFmtId="0" fontId="52" fillId="4" borderId="0" xfId="0" applyFont="1" applyFill="1" applyBorder="1" applyAlignment="1" applyProtection="1">
      <alignment vertical="top"/>
    </xf>
    <xf numFmtId="0" fontId="52" fillId="2" borderId="0" xfId="0" applyFont="1" applyFill="1" applyBorder="1" applyAlignment="1" applyProtection="1">
      <alignment vertical="top"/>
    </xf>
    <xf numFmtId="0" fontId="44" fillId="6" borderId="0" xfId="0" applyFont="1" applyFill="1" applyBorder="1" applyAlignment="1" applyProtection="1">
      <alignment vertical="top"/>
    </xf>
    <xf numFmtId="0" fontId="13" fillId="6" borderId="0" xfId="0" applyFont="1" applyFill="1" applyBorder="1" applyAlignment="1" applyProtection="1">
      <alignment vertical="top"/>
    </xf>
    <xf numFmtId="0" fontId="54" fillId="4" borderId="0" xfId="0" applyFont="1" applyFill="1"/>
    <xf numFmtId="165" fontId="48" fillId="6" borderId="0" xfId="0" applyNumberFormat="1" applyFont="1" applyFill="1" applyBorder="1" applyAlignment="1" applyProtection="1">
      <alignment horizontal="center" vertical="top"/>
      <protection locked="0"/>
    </xf>
    <xf numFmtId="175" fontId="33" fillId="6" borderId="0" xfId="5" applyNumberFormat="1" applyFont="1" applyFill="1" applyBorder="1" applyAlignment="1" applyProtection="1">
      <alignment horizontal="left"/>
      <protection locked="0"/>
    </xf>
    <xf numFmtId="0" fontId="33" fillId="6" borderId="0" xfId="0" applyFont="1" applyFill="1" applyBorder="1" applyAlignment="1" applyProtection="1">
      <alignment vertical="top"/>
    </xf>
    <xf numFmtId="0" fontId="50" fillId="4" borderId="0" xfId="0" applyFont="1" applyFill="1" applyBorder="1" applyAlignment="1" applyProtection="1">
      <alignment vertical="top"/>
    </xf>
    <xf numFmtId="0" fontId="56" fillId="4" borderId="0" xfId="0" applyFont="1" applyFill="1" applyBorder="1" applyAlignment="1" applyProtection="1">
      <alignment vertical="top"/>
    </xf>
    <xf numFmtId="0" fontId="55" fillId="4" borderId="0" xfId="0" applyFont="1" applyFill="1" applyBorder="1" applyAlignment="1" applyProtection="1">
      <alignment horizontal="left" vertical="top"/>
    </xf>
    <xf numFmtId="0" fontId="56" fillId="4" borderId="0" xfId="0" applyFont="1" applyFill="1" applyBorder="1" applyAlignment="1" applyProtection="1">
      <alignment horizontal="center" vertical="top"/>
    </xf>
    <xf numFmtId="0" fontId="55" fillId="2" borderId="0" xfId="0" applyFont="1" applyFill="1" applyBorder="1" applyAlignment="1" applyProtection="1">
      <alignment horizontal="left" vertical="top"/>
    </xf>
    <xf numFmtId="0" fontId="56" fillId="2" borderId="0" xfId="0" applyFont="1" applyFill="1" applyBorder="1" applyAlignment="1" applyProtection="1">
      <alignment vertical="top"/>
    </xf>
    <xf numFmtId="0" fontId="56" fillId="2" borderId="0" xfId="0" applyFont="1" applyFill="1" applyBorder="1" applyAlignment="1" applyProtection="1">
      <alignment horizontal="center" vertical="top"/>
    </xf>
    <xf numFmtId="0" fontId="58" fillId="4" borderId="0" xfId="0" applyFont="1" applyFill="1" applyBorder="1" applyAlignment="1" applyProtection="1">
      <alignment vertical="top"/>
    </xf>
    <xf numFmtId="14" fontId="58" fillId="4" borderId="0" xfId="0" applyNumberFormat="1" applyFont="1" applyFill="1" applyBorder="1" applyAlignment="1" applyProtection="1">
      <alignment horizontal="center" vertical="top"/>
    </xf>
    <xf numFmtId="0" fontId="57" fillId="2" borderId="0" xfId="0" applyFont="1" applyFill="1" applyBorder="1" applyAlignment="1" applyProtection="1">
      <alignment vertical="top"/>
    </xf>
    <xf numFmtId="0" fontId="58" fillId="2" borderId="0" xfId="0" applyFont="1" applyFill="1" applyBorder="1" applyAlignment="1" applyProtection="1">
      <alignment vertical="top"/>
    </xf>
    <xf numFmtId="14" fontId="58" fillId="2" borderId="0" xfId="0" applyNumberFormat="1" applyFont="1" applyFill="1" applyBorder="1" applyAlignment="1" applyProtection="1">
      <alignment horizontal="center" vertical="top"/>
    </xf>
    <xf numFmtId="0" fontId="61" fillId="4" borderId="0" xfId="0" applyFont="1" applyFill="1" applyBorder="1" applyAlignment="1" applyProtection="1">
      <alignment horizontal="center" vertical="top"/>
    </xf>
    <xf numFmtId="0" fontId="62" fillId="4" borderId="0" xfId="0" applyFont="1" applyFill="1" applyBorder="1" applyAlignment="1" applyProtection="1">
      <alignment horizontal="center" vertical="top"/>
    </xf>
    <xf numFmtId="0" fontId="55" fillId="4" borderId="0" xfId="0" applyFont="1" applyFill="1" applyBorder="1" applyAlignment="1" applyProtection="1">
      <alignment horizontal="center" vertical="top"/>
    </xf>
    <xf numFmtId="0" fontId="60" fillId="6" borderId="0" xfId="0" applyFont="1" applyFill="1" applyBorder="1"/>
    <xf numFmtId="0" fontId="6" fillId="6" borderId="0" xfId="0" applyFont="1" applyFill="1" applyBorder="1" applyAlignment="1" applyProtection="1">
      <alignment horizontal="center" vertical="center"/>
    </xf>
    <xf numFmtId="0" fontId="6" fillId="6" borderId="0" xfId="0" applyFont="1" applyFill="1" applyBorder="1" applyAlignment="1" applyProtection="1">
      <alignment vertical="center"/>
    </xf>
    <xf numFmtId="0" fontId="33" fillId="6" borderId="4" xfId="0" applyFont="1" applyFill="1" applyBorder="1" applyAlignment="1" applyProtection="1">
      <alignment vertical="top"/>
    </xf>
    <xf numFmtId="0" fontId="48" fillId="6" borderId="5" xfId="0" applyFont="1" applyFill="1" applyBorder="1" applyAlignment="1" applyProtection="1">
      <alignment horizontal="center" vertical="top"/>
    </xf>
    <xf numFmtId="0" fontId="48" fillId="6" borderId="0" xfId="0" applyFont="1" applyFill="1" applyBorder="1" applyAlignment="1" applyProtection="1">
      <alignment vertical="top"/>
    </xf>
    <xf numFmtId="0" fontId="63" fillId="4" borderId="0" xfId="0" applyFont="1" applyFill="1" applyBorder="1" applyAlignment="1" applyProtection="1">
      <alignment vertical="top"/>
    </xf>
    <xf numFmtId="0" fontId="59" fillId="6" borderId="0" xfId="0" applyFont="1" applyFill="1" applyBorder="1" applyAlignment="1" applyProtection="1">
      <alignment horizontal="center" vertical="top"/>
    </xf>
    <xf numFmtId="168" fontId="6" fillId="6" borderId="0" xfId="0" applyNumberFormat="1" applyFont="1" applyFill="1" applyBorder="1" applyAlignment="1" applyProtection="1">
      <alignment horizontal="right" vertical="top"/>
    </xf>
    <xf numFmtId="176" fontId="6" fillId="6" borderId="0" xfId="5" applyNumberFormat="1" applyFont="1" applyFill="1" applyBorder="1" applyAlignment="1" applyProtection="1">
      <alignment horizontal="left" vertical="top"/>
    </xf>
    <xf numFmtId="175" fontId="6" fillId="6" borderId="0" xfId="5" applyNumberFormat="1" applyFont="1" applyFill="1" applyBorder="1" applyAlignment="1" applyProtection="1">
      <alignment horizontal="center" vertical="top"/>
    </xf>
    <xf numFmtId="168" fontId="9" fillId="6" borderId="0" xfId="0" applyNumberFormat="1" applyFont="1" applyFill="1" applyBorder="1" applyAlignment="1" applyProtection="1">
      <alignment horizontal="right" vertical="top"/>
    </xf>
    <xf numFmtId="173" fontId="9" fillId="6" borderId="0" xfId="0" applyNumberFormat="1" applyFont="1" applyFill="1" applyBorder="1" applyAlignment="1" applyProtection="1">
      <alignment horizontal="center" vertical="center"/>
    </xf>
    <xf numFmtId="0" fontId="0" fillId="6" borderId="0" xfId="0" applyFill="1" applyBorder="1" applyAlignment="1">
      <alignment vertical="top"/>
    </xf>
    <xf numFmtId="177" fontId="48" fillId="6" borderId="0" xfId="5" applyNumberFormat="1" applyFont="1" applyFill="1" applyBorder="1" applyAlignment="1" applyProtection="1">
      <alignment horizontal="center" vertical="top"/>
    </xf>
    <xf numFmtId="0" fontId="10" fillId="6" borderId="0" xfId="0" applyFont="1" applyFill="1" applyBorder="1" applyAlignment="1" applyProtection="1">
      <alignment vertical="top"/>
    </xf>
    <xf numFmtId="0" fontId="63" fillId="6" borderId="0" xfId="0" applyFont="1" applyFill="1" applyBorder="1" applyAlignment="1" applyProtection="1">
      <alignment vertical="top"/>
    </xf>
    <xf numFmtId="167" fontId="6" fillId="4" borderId="0" xfId="2" applyNumberFormat="1" applyFont="1" applyFill="1" applyBorder="1" applyAlignment="1" applyProtection="1">
      <alignment horizontal="center" vertical="top"/>
    </xf>
    <xf numFmtId="0" fontId="6" fillId="4" borderId="0" xfId="0" applyFont="1" applyFill="1" applyBorder="1" applyAlignment="1" applyProtection="1">
      <alignment vertical="center"/>
    </xf>
    <xf numFmtId="0" fontId="9" fillId="6" borderId="0" xfId="0" applyFont="1" applyFill="1" applyBorder="1" applyAlignment="1" applyProtection="1">
      <alignment vertical="center"/>
    </xf>
    <xf numFmtId="0" fontId="44" fillId="6" borderId="0" xfId="0" applyFont="1" applyFill="1" applyBorder="1" applyAlignment="1" applyProtection="1">
      <alignment vertical="center"/>
    </xf>
    <xf numFmtId="0" fontId="44" fillId="4" borderId="0" xfId="0" applyFont="1" applyFill="1" applyBorder="1" applyAlignment="1" applyProtection="1">
      <alignment vertical="center"/>
    </xf>
    <xf numFmtId="0" fontId="53" fillId="6" borderId="0" xfId="0" applyFont="1" applyFill="1" applyBorder="1" applyAlignment="1" applyProtection="1">
      <alignment vertical="top"/>
    </xf>
    <xf numFmtId="173" fontId="9" fillId="6" borderId="0" xfId="0" applyNumberFormat="1" applyFont="1" applyFill="1" applyBorder="1" applyAlignment="1" applyProtection="1">
      <alignment vertical="center"/>
    </xf>
    <xf numFmtId="0" fontId="62" fillId="6" borderId="0" xfId="0" applyFont="1" applyFill="1" applyBorder="1" applyAlignment="1" applyProtection="1">
      <alignment horizontal="center" vertical="top"/>
    </xf>
    <xf numFmtId="0" fontId="33" fillId="4" borderId="7" xfId="0" applyFont="1" applyFill="1" applyBorder="1" applyAlignment="1" applyProtection="1">
      <alignment horizontal="center" vertical="top"/>
    </xf>
    <xf numFmtId="14" fontId="17" fillId="0" borderId="0" xfId="0" applyNumberFormat="1" applyFont="1" applyAlignment="1" applyProtection="1">
      <alignment horizontal="left"/>
    </xf>
    <xf numFmtId="167" fontId="9" fillId="6" borderId="0" xfId="0" applyNumberFormat="1" applyFont="1" applyFill="1" applyBorder="1" applyAlignment="1" applyProtection="1">
      <alignment horizontal="right" vertical="top"/>
    </xf>
    <xf numFmtId="167" fontId="9" fillId="6" borderId="0" xfId="0" applyNumberFormat="1" applyFont="1" applyFill="1" applyBorder="1" applyAlignment="1" applyProtection="1">
      <alignment vertical="top"/>
    </xf>
    <xf numFmtId="0" fontId="53" fillId="6" borderId="0" xfId="0" applyFont="1" applyFill="1" applyBorder="1" applyAlignment="1" applyProtection="1">
      <alignment vertical="top" wrapText="1"/>
    </xf>
    <xf numFmtId="0" fontId="66" fillId="6" borderId="0" xfId="0" applyFont="1" applyFill="1" applyBorder="1" applyAlignment="1" applyProtection="1">
      <alignment vertical="top"/>
    </xf>
    <xf numFmtId="0" fontId="67" fillId="4" borderId="0" xfId="0" applyFont="1" applyFill="1" applyBorder="1" applyAlignment="1" applyProtection="1">
      <alignment vertical="top"/>
    </xf>
    <xf numFmtId="0" fontId="67" fillId="6" borderId="0" xfId="0" applyFont="1" applyFill="1" applyBorder="1" applyAlignment="1" applyProtection="1">
      <alignment vertical="top"/>
    </xf>
    <xf numFmtId="0" fontId="9" fillId="4" borderId="0" xfId="0" applyFont="1" applyFill="1" applyBorder="1" applyAlignment="1" applyProtection="1">
      <alignment vertical="center"/>
    </xf>
    <xf numFmtId="0" fontId="9" fillId="6" borderId="0" xfId="0" applyFont="1" applyFill="1" applyBorder="1" applyAlignment="1" applyProtection="1">
      <alignment horizontal="center" vertical="center"/>
    </xf>
    <xf numFmtId="0" fontId="63" fillId="6" borderId="0" xfId="0" applyFont="1" applyFill="1" applyBorder="1" applyAlignment="1" applyProtection="1">
      <alignment vertical="center"/>
    </xf>
    <xf numFmtId="0" fontId="63" fillId="4" borderId="0" xfId="0" applyFont="1" applyFill="1" applyBorder="1" applyAlignment="1" applyProtection="1">
      <alignment vertical="center"/>
    </xf>
    <xf numFmtId="167" fontId="6" fillId="6" borderId="0" xfId="2" applyNumberFormat="1" applyFont="1" applyFill="1" applyBorder="1" applyAlignment="1" applyProtection="1">
      <alignment horizontal="center" vertical="top"/>
    </xf>
    <xf numFmtId="0" fontId="6" fillId="0" borderId="0" xfId="0" applyFont="1" applyFill="1" applyBorder="1" applyAlignment="1" applyProtection="1">
      <alignment vertical="top"/>
    </xf>
    <xf numFmtId="168" fontId="9" fillId="6" borderId="0" xfId="0" applyNumberFormat="1" applyFont="1" applyFill="1" applyBorder="1" applyAlignment="1" applyProtection="1">
      <alignment horizontal="center" vertical="center"/>
    </xf>
    <xf numFmtId="0" fontId="46" fillId="2" borderId="0" xfId="0" applyFont="1" applyFill="1" applyBorder="1" applyAlignment="1" applyProtection="1">
      <alignment vertical="top"/>
    </xf>
    <xf numFmtId="0" fontId="0" fillId="4" borderId="0" xfId="0" applyFill="1" applyBorder="1" applyAlignment="1">
      <alignment horizontal="center" vertical="top"/>
    </xf>
    <xf numFmtId="0" fontId="69" fillId="0" borderId="0" xfId="0" applyFont="1" applyBorder="1" applyAlignment="1">
      <alignment vertical="top"/>
    </xf>
    <xf numFmtId="0" fontId="70" fillId="4" borderId="0" xfId="0" applyFont="1" applyFill="1" applyBorder="1"/>
    <xf numFmtId="0" fontId="33" fillId="4" borderId="18" xfId="0" applyFont="1" applyFill="1" applyBorder="1"/>
    <xf numFmtId="0" fontId="33" fillId="4" borderId="19" xfId="0" applyFont="1" applyFill="1" applyBorder="1"/>
    <xf numFmtId="0" fontId="33" fillId="4" borderId="19" xfId="0" applyFont="1" applyFill="1" applyBorder="1" applyAlignment="1">
      <alignment vertical="top"/>
    </xf>
    <xf numFmtId="0" fontId="33" fillId="4" borderId="20" xfId="0" applyFont="1" applyFill="1" applyBorder="1" applyAlignment="1">
      <alignment vertical="top"/>
    </xf>
    <xf numFmtId="0" fontId="33" fillId="4" borderId="21" xfId="0" applyFont="1" applyFill="1" applyBorder="1"/>
    <xf numFmtId="0" fontId="33" fillId="4" borderId="22" xfId="0" applyFont="1" applyFill="1" applyBorder="1" applyAlignment="1">
      <alignment vertical="top"/>
    </xf>
    <xf numFmtId="0" fontId="33" fillId="4" borderId="22" xfId="0" applyFont="1" applyFill="1" applyBorder="1"/>
    <xf numFmtId="0" fontId="45" fillId="4" borderId="22" xfId="0" applyFont="1" applyFill="1" applyBorder="1"/>
    <xf numFmtId="0" fontId="33" fillId="4" borderId="23" xfId="0" applyFont="1" applyFill="1" applyBorder="1"/>
    <xf numFmtId="0" fontId="33" fillId="4" borderId="24" xfId="0" applyFont="1" applyFill="1" applyBorder="1"/>
    <xf numFmtId="0" fontId="33" fillId="4" borderId="25" xfId="0" applyFont="1" applyFill="1" applyBorder="1"/>
    <xf numFmtId="0" fontId="33" fillId="4" borderId="20" xfId="0" applyFont="1" applyFill="1" applyBorder="1"/>
    <xf numFmtId="0" fontId="71" fillId="4" borderId="0" xfId="0" applyFont="1" applyFill="1" applyBorder="1"/>
    <xf numFmtId="0" fontId="72" fillId="6" borderId="3" xfId="0" applyFont="1" applyFill="1" applyBorder="1" applyAlignment="1" applyProtection="1">
      <alignment horizontal="center" vertical="top"/>
    </xf>
    <xf numFmtId="0" fontId="33" fillId="6" borderId="9" xfId="0" applyFont="1" applyFill="1" applyBorder="1" applyAlignment="1" applyProtection="1">
      <alignment vertical="top"/>
    </xf>
    <xf numFmtId="14" fontId="48" fillId="4" borderId="17" xfId="0" applyNumberFormat="1" applyFont="1" applyFill="1" applyBorder="1" applyAlignment="1" applyProtection="1">
      <alignment horizontal="center" vertical="top"/>
      <protection locked="0"/>
    </xf>
    <xf numFmtId="168" fontId="6" fillId="7" borderId="17" xfId="0" applyNumberFormat="1" applyFont="1" applyFill="1" applyBorder="1" applyAlignment="1" applyProtection="1">
      <alignment horizontal="center" vertical="top"/>
    </xf>
    <xf numFmtId="177" fontId="48" fillId="4" borderId="17" xfId="5" applyNumberFormat="1" applyFont="1" applyFill="1" applyBorder="1" applyAlignment="1" applyProtection="1">
      <alignment horizontal="center" vertical="top"/>
      <protection locked="0"/>
    </xf>
    <xf numFmtId="0" fontId="48" fillId="4" borderId="17" xfId="0" applyFont="1" applyFill="1" applyBorder="1" applyAlignment="1" applyProtection="1">
      <alignment horizontal="center" vertical="top"/>
      <protection locked="0"/>
    </xf>
    <xf numFmtId="168" fontId="6" fillId="7" borderId="17" xfId="0" applyNumberFormat="1" applyFont="1" applyFill="1" applyBorder="1" applyAlignment="1" applyProtection="1">
      <alignment horizontal="right" vertical="top"/>
    </xf>
    <xf numFmtId="165" fontId="48" fillId="4" borderId="17" xfId="0" applyNumberFormat="1" applyFont="1" applyFill="1" applyBorder="1" applyAlignment="1" applyProtection="1">
      <alignment horizontal="right" vertical="top"/>
      <protection locked="0"/>
    </xf>
    <xf numFmtId="0" fontId="48" fillId="4" borderId="28" xfId="0" applyFont="1" applyFill="1" applyBorder="1" applyAlignment="1" applyProtection="1">
      <alignment horizontal="center" vertical="top"/>
      <protection locked="0"/>
    </xf>
    <xf numFmtId="168" fontId="6" fillId="7" borderId="30" xfId="0" applyNumberFormat="1" applyFont="1" applyFill="1" applyBorder="1" applyAlignment="1" applyProtection="1">
      <alignment horizontal="right" vertical="top"/>
    </xf>
    <xf numFmtId="165" fontId="48" fillId="4" borderId="29" xfId="0" applyNumberFormat="1" applyFont="1" applyFill="1" applyBorder="1" applyAlignment="1" applyProtection="1">
      <alignment horizontal="right" vertical="top"/>
      <protection locked="0"/>
    </xf>
    <xf numFmtId="9" fontId="48" fillId="4" borderId="29" xfId="2" applyFont="1" applyFill="1" applyBorder="1" applyAlignment="1" applyProtection="1">
      <alignment horizontal="right" vertical="top"/>
      <protection locked="0"/>
    </xf>
    <xf numFmtId="0" fontId="33" fillId="4" borderId="17" xfId="0" applyFont="1" applyFill="1" applyBorder="1" applyAlignment="1" applyProtection="1">
      <alignment horizontal="center" vertical="top"/>
      <protection locked="0"/>
    </xf>
    <xf numFmtId="14" fontId="48" fillId="4" borderId="32" xfId="0" applyNumberFormat="1" applyFont="1" applyFill="1" applyBorder="1" applyAlignment="1" applyProtection="1">
      <alignment horizontal="center" vertical="top"/>
      <protection locked="0"/>
    </xf>
    <xf numFmtId="168" fontId="6" fillId="7" borderId="31" xfId="0" applyNumberFormat="1" applyFont="1" applyFill="1" applyBorder="1" applyAlignment="1" applyProtection="1">
      <alignment horizontal="center" vertical="top"/>
    </xf>
    <xf numFmtId="0" fontId="48" fillId="4" borderId="33" xfId="0" applyFont="1" applyFill="1" applyBorder="1" applyAlignment="1" applyProtection="1">
      <alignment horizontal="center" vertical="top"/>
      <protection locked="0"/>
    </xf>
    <xf numFmtId="0" fontId="48" fillId="4" borderId="34" xfId="0" applyFont="1" applyFill="1" applyBorder="1" applyAlignment="1" applyProtection="1">
      <alignment horizontal="center" vertical="top"/>
      <protection locked="0"/>
    </xf>
    <xf numFmtId="165" fontId="48" fillId="4" borderId="35" xfId="0" applyNumberFormat="1" applyFont="1" applyFill="1" applyBorder="1" applyAlignment="1" applyProtection="1">
      <alignment horizontal="right" vertical="center"/>
      <protection locked="0"/>
    </xf>
    <xf numFmtId="175" fontId="33" fillId="4" borderId="36" xfId="5" applyNumberFormat="1" applyFont="1" applyFill="1" applyBorder="1" applyAlignment="1" applyProtection="1">
      <alignment horizontal="right" vertical="center"/>
      <protection locked="0"/>
    </xf>
    <xf numFmtId="0" fontId="33" fillId="4" borderId="37" xfId="0" applyFont="1" applyFill="1" applyBorder="1" applyAlignment="1" applyProtection="1">
      <alignment horizontal="center" vertical="top"/>
      <protection locked="0"/>
    </xf>
    <xf numFmtId="0" fontId="33" fillId="4" borderId="38" xfId="0" applyFont="1" applyFill="1" applyBorder="1" applyAlignment="1" applyProtection="1">
      <alignment horizontal="center" vertical="top"/>
      <protection locked="0"/>
    </xf>
    <xf numFmtId="167" fontId="34" fillId="0" borderId="37" xfId="2" applyNumberFormat="1" applyFont="1" applyFill="1" applyBorder="1" applyAlignment="1" applyProtection="1">
      <alignment vertical="top"/>
      <protection locked="0"/>
    </xf>
    <xf numFmtId="167" fontId="34" fillId="0" borderId="38" xfId="2" applyNumberFormat="1" applyFont="1" applyFill="1" applyBorder="1" applyAlignment="1" applyProtection="1">
      <alignment vertical="top"/>
      <protection locked="0"/>
    </xf>
    <xf numFmtId="0" fontId="6" fillId="6" borderId="0" xfId="0" applyFont="1" applyFill="1" applyBorder="1" applyAlignment="1">
      <alignment wrapText="1"/>
    </xf>
    <xf numFmtId="0" fontId="71" fillId="8" borderId="0" xfId="0" applyFont="1" applyFill="1" applyBorder="1"/>
    <xf numFmtId="0" fontId="45" fillId="8" borderId="0" xfId="0" applyFont="1" applyFill="1" applyBorder="1"/>
    <xf numFmtId="0" fontId="71" fillId="4" borderId="39" xfId="0" applyFont="1" applyFill="1" applyBorder="1"/>
    <xf numFmtId="0" fontId="71" fillId="4" borderId="40" xfId="0" applyFont="1" applyFill="1" applyBorder="1"/>
    <xf numFmtId="0" fontId="71" fillId="4" borderId="41" xfId="0" applyFont="1" applyFill="1" applyBorder="1"/>
    <xf numFmtId="0" fontId="71" fillId="4" borderId="42" xfId="0" applyFont="1" applyFill="1" applyBorder="1"/>
    <xf numFmtId="0" fontId="71" fillId="4" borderId="43" xfId="0" applyFont="1" applyFill="1" applyBorder="1"/>
    <xf numFmtId="0" fontId="71" fillId="4" borderId="44" xfId="0" applyFont="1" applyFill="1" applyBorder="1"/>
    <xf numFmtId="0" fontId="71" fillId="4" borderId="45" xfId="0" applyFont="1" applyFill="1" applyBorder="1"/>
    <xf numFmtId="0" fontId="71" fillId="4" borderId="46" xfId="0" applyFont="1" applyFill="1" applyBorder="1"/>
    <xf numFmtId="0" fontId="73" fillId="4" borderId="0" xfId="0" applyFont="1" applyFill="1" applyBorder="1"/>
    <xf numFmtId="0" fontId="33" fillId="4" borderId="39" xfId="0" applyFont="1" applyFill="1" applyBorder="1"/>
    <xf numFmtId="0" fontId="33" fillId="4" borderId="40" xfId="0" applyFont="1" applyFill="1" applyBorder="1"/>
    <xf numFmtId="0" fontId="33" fillId="4" borderId="41" xfId="0" applyFont="1" applyFill="1" applyBorder="1"/>
    <xf numFmtId="0" fontId="33" fillId="4" borderId="42" xfId="0" applyFont="1" applyFill="1" applyBorder="1"/>
    <xf numFmtId="0" fontId="33" fillId="4" borderId="43" xfId="0" applyFont="1" applyFill="1" applyBorder="1"/>
    <xf numFmtId="0" fontId="33" fillId="4" borderId="44" xfId="0" applyFont="1" applyFill="1" applyBorder="1"/>
    <xf numFmtId="0" fontId="33" fillId="4" borderId="45" xfId="0" applyFont="1" applyFill="1" applyBorder="1"/>
    <xf numFmtId="0" fontId="33" fillId="4" borderId="46" xfId="0" applyFont="1" applyFill="1" applyBorder="1"/>
    <xf numFmtId="0" fontId="74" fillId="4" borderId="0" xfId="0" applyFont="1" applyFill="1" applyBorder="1" applyAlignment="1" applyProtection="1">
      <alignment vertical="top"/>
    </xf>
    <xf numFmtId="0" fontId="74" fillId="4" borderId="0" xfId="0" applyFont="1" applyFill="1" applyBorder="1" applyAlignment="1" applyProtection="1">
      <alignment horizontal="center" vertical="top"/>
    </xf>
    <xf numFmtId="0" fontId="75" fillId="4" borderId="0" xfId="0" applyFont="1" applyFill="1" applyBorder="1" applyAlignment="1" applyProtection="1">
      <alignment horizontal="center" vertical="top"/>
    </xf>
    <xf numFmtId="0" fontId="78" fillId="4" borderId="0" xfId="0" applyFont="1" applyFill="1" applyBorder="1" applyAlignment="1" applyProtection="1">
      <alignment vertical="top"/>
    </xf>
    <xf numFmtId="0" fontId="76" fillId="2" borderId="0" xfId="0" applyFont="1" applyFill="1" applyBorder="1" applyAlignment="1" applyProtection="1">
      <alignment horizontal="left" vertical="top"/>
    </xf>
    <xf numFmtId="0" fontId="78" fillId="4" borderId="0" xfId="0" applyFont="1" applyFill="1" applyBorder="1" applyAlignment="1" applyProtection="1">
      <alignment horizontal="center" vertical="top"/>
    </xf>
    <xf numFmtId="0" fontId="76" fillId="4" borderId="0" xfId="0" applyFont="1" applyFill="1" applyBorder="1" applyAlignment="1" applyProtection="1">
      <alignment horizontal="center" vertical="top"/>
    </xf>
    <xf numFmtId="0" fontId="78" fillId="2" borderId="0" xfId="0" applyFont="1" applyFill="1" applyBorder="1" applyAlignment="1" applyProtection="1">
      <alignment horizontal="center" vertical="top"/>
    </xf>
    <xf numFmtId="0" fontId="79" fillId="4" borderId="0" xfId="0" applyFont="1" applyFill="1" applyBorder="1" applyAlignment="1" applyProtection="1">
      <alignment vertical="top"/>
    </xf>
    <xf numFmtId="14" fontId="79" fillId="4" borderId="0" xfId="0" applyNumberFormat="1" applyFont="1" applyFill="1" applyBorder="1" applyAlignment="1" applyProtection="1">
      <alignment horizontal="center" vertical="top"/>
    </xf>
    <xf numFmtId="0" fontId="80" fillId="2" borderId="0" xfId="0" applyFont="1" applyFill="1" applyBorder="1" applyAlignment="1" applyProtection="1">
      <alignment vertical="top"/>
    </xf>
    <xf numFmtId="14" fontId="79" fillId="2" borderId="0" xfId="0" applyNumberFormat="1" applyFont="1" applyFill="1" applyBorder="1" applyAlignment="1" applyProtection="1">
      <alignment horizontal="center" vertical="top"/>
    </xf>
    <xf numFmtId="0" fontId="76" fillId="4" borderId="0" xfId="0" applyFont="1" applyFill="1" applyBorder="1" applyAlignment="1" applyProtection="1">
      <alignment vertical="top"/>
    </xf>
    <xf numFmtId="0" fontId="81" fillId="4" borderId="0" xfId="0" applyFont="1" applyFill="1" applyBorder="1" applyAlignment="1" applyProtection="1">
      <alignment vertical="top"/>
    </xf>
    <xf numFmtId="0" fontId="84" fillId="4" borderId="0" xfId="0" applyFont="1" applyFill="1" applyBorder="1" applyAlignment="1" applyProtection="1">
      <alignment horizontal="center" vertical="center"/>
    </xf>
    <xf numFmtId="167" fontId="75" fillId="4" borderId="0" xfId="0" applyNumberFormat="1" applyFont="1" applyFill="1" applyBorder="1" applyAlignment="1" applyProtection="1">
      <alignment horizontal="center" vertical="top"/>
    </xf>
    <xf numFmtId="0" fontId="84" fillId="4" borderId="0" xfId="0" applyFont="1" applyFill="1" applyBorder="1" applyAlignment="1" applyProtection="1">
      <alignment vertical="center"/>
    </xf>
    <xf numFmtId="0" fontId="85" fillId="4" borderId="0" xfId="0" applyFont="1" applyFill="1" applyBorder="1" applyAlignment="1" applyProtection="1">
      <alignment vertical="top"/>
    </xf>
    <xf numFmtId="0" fontId="83" fillId="4" borderId="47" xfId="0" applyFont="1" applyFill="1" applyBorder="1" applyAlignment="1" applyProtection="1">
      <alignment horizontal="center" vertical="top"/>
    </xf>
    <xf numFmtId="0" fontId="83" fillId="4" borderId="49" xfId="0" applyFont="1" applyFill="1" applyBorder="1" applyAlignment="1" applyProtection="1">
      <alignment vertical="center" wrapText="1"/>
    </xf>
    <xf numFmtId="0" fontId="86" fillId="4" borderId="0" xfId="0" applyFont="1" applyFill="1"/>
    <xf numFmtId="0" fontId="76" fillId="2" borderId="0" xfId="0" applyFont="1" applyFill="1" applyBorder="1" applyAlignment="1" applyProtection="1">
      <alignment vertical="top"/>
    </xf>
    <xf numFmtId="0" fontId="83" fillId="2" borderId="0" xfId="0" applyFont="1" applyFill="1" applyBorder="1" applyAlignment="1" applyProtection="1">
      <alignment vertical="top"/>
    </xf>
    <xf numFmtId="0" fontId="82" fillId="2" borderId="0" xfId="0" applyFont="1" applyFill="1" applyBorder="1" applyAlignment="1" applyProtection="1">
      <alignment vertical="top"/>
    </xf>
    <xf numFmtId="0" fontId="76" fillId="4" borderId="0" xfId="0" applyFont="1" applyFill="1" applyBorder="1" applyAlignment="1" applyProtection="1">
      <alignment horizontal="left" vertical="top"/>
    </xf>
    <xf numFmtId="168" fontId="6" fillId="7" borderId="47" xfId="0" applyNumberFormat="1" applyFont="1" applyFill="1" applyBorder="1" applyAlignment="1" applyProtection="1">
      <alignment horizontal="right" vertical="top"/>
    </xf>
    <xf numFmtId="168" fontId="9" fillId="7" borderId="47" xfId="0" applyNumberFormat="1" applyFont="1" applyFill="1" applyBorder="1" applyAlignment="1" applyProtection="1">
      <alignment horizontal="right" vertical="top"/>
    </xf>
    <xf numFmtId="174" fontId="40" fillId="7" borderId="47" xfId="0" applyNumberFormat="1" applyFont="1" applyFill="1" applyBorder="1" applyAlignment="1" applyProtection="1">
      <alignment horizontal="left" vertical="top"/>
      <protection locked="0"/>
    </xf>
    <xf numFmtId="177" fontId="48" fillId="7" borderId="47" xfId="5" applyNumberFormat="1" applyFont="1" applyFill="1" applyBorder="1" applyAlignment="1" applyProtection="1">
      <alignment horizontal="center" vertical="top"/>
    </xf>
    <xf numFmtId="0" fontId="43" fillId="7" borderId="47" xfId="0" applyFont="1" applyFill="1" applyBorder="1" applyAlignment="1" applyProtection="1">
      <alignment horizontal="center" vertical="top"/>
    </xf>
    <xf numFmtId="165" fontId="40" fillId="7" borderId="47" xfId="0" applyNumberFormat="1" applyFont="1" applyFill="1" applyBorder="1" applyAlignment="1" applyProtection="1">
      <alignment horizontal="center" vertical="top"/>
    </xf>
    <xf numFmtId="9" fontId="40" fillId="7" borderId="47" xfId="2" applyFont="1" applyFill="1" applyBorder="1" applyAlignment="1" applyProtection="1">
      <alignment horizontal="center" vertical="top"/>
    </xf>
    <xf numFmtId="176" fontId="6" fillId="7" borderId="47" xfId="5" applyNumberFormat="1" applyFont="1" applyFill="1" applyBorder="1" applyAlignment="1" applyProtection="1">
      <alignment horizontal="left" vertical="top"/>
    </xf>
    <xf numFmtId="168" fontId="6" fillId="7" borderId="47" xfId="0" applyNumberFormat="1" applyFont="1" applyFill="1" applyBorder="1" applyAlignment="1" applyProtection="1">
      <alignment horizontal="center" vertical="top"/>
    </xf>
    <xf numFmtId="175" fontId="6" fillId="7" borderId="47" xfId="5" applyNumberFormat="1" applyFont="1" applyFill="1" applyBorder="1" applyAlignment="1" applyProtection="1">
      <alignment horizontal="center" vertical="top"/>
    </xf>
    <xf numFmtId="0" fontId="6" fillId="7" borderId="47" xfId="0" applyFont="1" applyFill="1" applyBorder="1" applyAlignment="1" applyProtection="1">
      <alignment vertical="top"/>
    </xf>
    <xf numFmtId="0" fontId="9" fillId="7" borderId="47" xfId="0" applyFont="1" applyFill="1" applyBorder="1" applyAlignment="1" applyProtection="1">
      <alignment vertical="top"/>
    </xf>
    <xf numFmtId="178" fontId="68" fillId="7" borderId="47" xfId="2" applyNumberFormat="1" applyFont="1" applyFill="1" applyBorder="1" applyAlignment="1" applyProtection="1">
      <alignment horizontal="right" vertical="top"/>
    </xf>
    <xf numFmtId="176" fontId="6" fillId="7" borderId="47" xfId="5" applyNumberFormat="1" applyFont="1" applyFill="1" applyBorder="1" applyAlignment="1" applyProtection="1">
      <alignment horizontal="center" vertical="top"/>
    </xf>
    <xf numFmtId="42" fontId="12" fillId="7" borderId="47" xfId="0" applyNumberFormat="1" applyFont="1" applyFill="1" applyBorder="1" applyAlignment="1" applyProtection="1">
      <alignment horizontal="center" vertical="top"/>
    </xf>
    <xf numFmtId="0" fontId="13" fillId="7" borderId="47" xfId="0" applyFont="1" applyFill="1" applyBorder="1" applyAlignment="1" applyProtection="1">
      <alignment vertical="top"/>
    </xf>
    <xf numFmtId="0" fontId="44" fillId="7" borderId="47" xfId="0" applyFont="1" applyFill="1" applyBorder="1" applyAlignment="1" applyProtection="1">
      <alignment vertical="top"/>
    </xf>
    <xf numFmtId="0" fontId="6" fillId="4" borderId="18" xfId="0" applyFont="1" applyFill="1" applyBorder="1"/>
    <xf numFmtId="0" fontId="6" fillId="4" borderId="19" xfId="0" applyFont="1" applyFill="1" applyBorder="1"/>
    <xf numFmtId="0" fontId="6" fillId="4" borderId="20" xfId="0" applyFont="1" applyFill="1" applyBorder="1"/>
    <xf numFmtId="0" fontId="6" fillId="4" borderId="21" xfId="0" applyFont="1" applyFill="1" applyBorder="1"/>
    <xf numFmtId="0" fontId="6" fillId="4" borderId="22" xfId="0" applyFont="1" applyFill="1" applyBorder="1"/>
    <xf numFmtId="0" fontId="47" fillId="4" borderId="22" xfId="0" applyFont="1" applyFill="1" applyBorder="1"/>
    <xf numFmtId="0" fontId="0" fillId="6" borderId="0" xfId="0" applyFill="1" applyBorder="1" applyAlignment="1"/>
    <xf numFmtId="0" fontId="6" fillId="4" borderId="23" xfId="0" applyFont="1" applyFill="1" applyBorder="1"/>
    <xf numFmtId="0" fontId="6" fillId="4" borderId="24" xfId="0" applyFont="1" applyFill="1" applyBorder="1"/>
    <xf numFmtId="0" fontId="6" fillId="4" borderId="25" xfId="0" applyFont="1" applyFill="1" applyBorder="1"/>
    <xf numFmtId="0" fontId="6" fillId="7" borderId="0" xfId="0" applyFont="1" applyFill="1" applyBorder="1" applyAlignment="1"/>
    <xf numFmtId="0" fontId="0" fillId="7" borderId="0" xfId="0" applyFill="1" applyBorder="1" applyAlignment="1"/>
    <xf numFmtId="0" fontId="6" fillId="7" borderId="0" xfId="0" quotePrefix="1" applyFont="1" applyFill="1" applyBorder="1"/>
    <xf numFmtId="0" fontId="6" fillId="7" borderId="0" xfId="0" applyFont="1" applyFill="1" applyBorder="1"/>
    <xf numFmtId="0" fontId="6" fillId="7" borderId="1" xfId="0" applyFont="1" applyFill="1" applyBorder="1" applyAlignment="1">
      <alignment vertical="center"/>
    </xf>
    <xf numFmtId="0" fontId="90" fillId="4" borderId="0" xfId="0" applyFont="1" applyFill="1" applyAlignment="1"/>
    <xf numFmtId="0" fontId="88" fillId="4" borderId="0" xfId="0" applyFont="1" applyFill="1" applyBorder="1" applyAlignment="1"/>
    <xf numFmtId="0" fontId="74" fillId="4" borderId="0" xfId="0" applyFont="1" applyFill="1" applyBorder="1" applyAlignment="1">
      <alignment vertical="top" wrapText="1"/>
    </xf>
    <xf numFmtId="0" fontId="84" fillId="6" borderId="0" xfId="0" applyFont="1" applyFill="1" applyBorder="1"/>
    <xf numFmtId="0" fontId="50" fillId="4" borderId="19" xfId="0" applyFont="1" applyFill="1" applyBorder="1" applyAlignment="1"/>
    <xf numFmtId="0" fontId="33" fillId="4" borderId="0" xfId="0" applyFont="1" applyFill="1" applyAlignment="1">
      <alignment horizontal="center" vertical="top"/>
    </xf>
    <xf numFmtId="0" fontId="92" fillId="4" borderId="0" xfId="0" applyFont="1" applyFill="1" applyAlignment="1">
      <alignment vertical="top"/>
    </xf>
    <xf numFmtId="0" fontId="95" fillId="4" borderId="0" xfId="0" applyFont="1" applyFill="1" applyAlignment="1">
      <alignment vertical="top"/>
    </xf>
    <xf numFmtId="0" fontId="95" fillId="2" borderId="0" xfId="0" applyFont="1" applyFill="1" applyAlignment="1">
      <alignment vertical="top"/>
    </xf>
    <xf numFmtId="0" fontId="95" fillId="2" borderId="0" xfId="0" applyFont="1" applyFill="1" applyAlignment="1">
      <alignment horizontal="center" vertical="top"/>
    </xf>
    <xf numFmtId="0" fontId="97" fillId="4" borderId="0" xfId="0" applyFont="1" applyFill="1" applyAlignment="1">
      <alignment vertical="top"/>
    </xf>
    <xf numFmtId="0" fontId="33" fillId="2" borderId="0" xfId="0" applyFont="1" applyFill="1" applyAlignment="1">
      <alignment vertical="top"/>
    </xf>
    <xf numFmtId="0" fontId="11" fillId="4" borderId="0" xfId="0" applyFont="1" applyFill="1" applyAlignment="1">
      <alignment vertical="top"/>
    </xf>
    <xf numFmtId="0" fontId="11" fillId="6" borderId="0" xfId="0" applyFont="1" applyFill="1" applyAlignment="1">
      <alignment vertical="top"/>
    </xf>
    <xf numFmtId="0" fontId="33" fillId="6" borderId="0" xfId="0" applyFont="1" applyFill="1" applyAlignment="1">
      <alignment vertical="top"/>
    </xf>
    <xf numFmtId="0" fontId="48" fillId="6" borderId="0" xfId="0" applyFont="1" applyFill="1" applyAlignment="1">
      <alignment horizontal="center" vertical="top"/>
    </xf>
    <xf numFmtId="0" fontId="98" fillId="4" borderId="0" xfId="0" applyFont="1" applyFill="1" applyAlignment="1">
      <alignment vertical="top"/>
    </xf>
    <xf numFmtId="0" fontId="37" fillId="6" borderId="0" xfId="0" applyFont="1" applyFill="1" applyAlignment="1">
      <alignment vertical="top"/>
    </xf>
    <xf numFmtId="0" fontId="69" fillId="6" borderId="0" xfId="0" applyFont="1" applyFill="1" applyAlignment="1">
      <alignment horizontal="left" vertical="top"/>
    </xf>
    <xf numFmtId="0" fontId="33" fillId="6" borderId="0" xfId="0" applyFont="1" applyFill="1" applyAlignment="1">
      <alignment horizontal="center" vertical="top"/>
    </xf>
    <xf numFmtId="174" fontId="48" fillId="7" borderId="54" xfId="0" applyNumberFormat="1" applyFont="1" applyFill="1" applyBorder="1" applyAlignment="1" applyProtection="1">
      <alignment horizontal="left" vertical="top"/>
      <protection locked="0"/>
    </xf>
    <xf numFmtId="0" fontId="99" fillId="7" borderId="54" xfId="0" applyFont="1" applyFill="1" applyBorder="1" applyAlignment="1">
      <alignment horizontal="center" vertical="top"/>
    </xf>
    <xf numFmtId="165" fontId="48" fillId="7" borderId="54" xfId="0" applyNumberFormat="1" applyFont="1" applyFill="1" applyBorder="1" applyAlignment="1">
      <alignment horizontal="center" vertical="top"/>
    </xf>
    <xf numFmtId="9" fontId="48" fillId="7" borderId="54" xfId="2" applyFont="1" applyFill="1" applyBorder="1" applyAlignment="1" applyProtection="1">
      <alignment horizontal="center" vertical="top"/>
    </xf>
    <xf numFmtId="171" fontId="72" fillId="4" borderId="54" xfId="0" applyNumberFormat="1" applyFont="1" applyFill="1" applyBorder="1" applyAlignment="1">
      <alignment horizontal="center" vertical="top"/>
    </xf>
    <xf numFmtId="0" fontId="72" fillId="4" borderId="54" xfId="0" applyFont="1" applyFill="1" applyBorder="1" applyAlignment="1">
      <alignment horizontal="center" vertical="top"/>
    </xf>
    <xf numFmtId="168" fontId="33" fillId="7" borderId="54" xfId="0" applyNumberFormat="1" applyFont="1" applyFill="1" applyBorder="1" applyAlignment="1">
      <alignment horizontal="right" vertical="top"/>
    </xf>
    <xf numFmtId="0" fontId="64" fillId="6" borderId="0" xfId="0" applyFont="1" applyFill="1" applyAlignment="1">
      <alignment horizontal="center" vertical="top"/>
    </xf>
    <xf numFmtId="176" fontId="33" fillId="7" borderId="54" xfId="5" applyNumberFormat="1" applyFont="1" applyFill="1" applyBorder="1" applyAlignment="1" applyProtection="1">
      <alignment horizontal="center" vertical="top"/>
    </xf>
    <xf numFmtId="176" fontId="33" fillId="7" borderId="54" xfId="5" applyNumberFormat="1" applyFont="1" applyFill="1" applyBorder="1" applyAlignment="1" applyProtection="1">
      <alignment horizontal="left" vertical="top"/>
    </xf>
    <xf numFmtId="0" fontId="100" fillId="6" borderId="0" xfId="0" applyFont="1" applyFill="1" applyAlignment="1">
      <alignment horizontal="center" vertical="top"/>
    </xf>
    <xf numFmtId="168" fontId="33" fillId="7" borderId="54" xfId="0" applyNumberFormat="1" applyFont="1" applyFill="1" applyBorder="1" applyAlignment="1">
      <alignment horizontal="center" vertical="top"/>
    </xf>
    <xf numFmtId="0" fontId="92" fillId="6" borderId="0" xfId="0" applyFont="1" applyFill="1" applyAlignment="1">
      <alignment horizontal="center" vertical="top"/>
    </xf>
    <xf numFmtId="175" fontId="33" fillId="7" borderId="54" xfId="5" applyNumberFormat="1" applyFont="1" applyFill="1" applyBorder="1" applyAlignment="1" applyProtection="1">
      <alignment horizontal="center" vertical="top"/>
    </xf>
    <xf numFmtId="0" fontId="64" fillId="6" borderId="0" xfId="0" applyFont="1" applyFill="1" applyAlignment="1">
      <alignment vertical="top"/>
    </xf>
    <xf numFmtId="0" fontId="64" fillId="4" borderId="0" xfId="0" applyFont="1" applyFill="1" applyAlignment="1">
      <alignment vertical="top"/>
    </xf>
    <xf numFmtId="170" fontId="37" fillId="7" borderId="54" xfId="0" applyNumberFormat="1" applyFont="1" applyFill="1" applyBorder="1" applyAlignment="1">
      <alignment horizontal="center" vertical="top"/>
    </xf>
    <xf numFmtId="0" fontId="37" fillId="6" borderId="0" xfId="0" applyFont="1" applyFill="1" applyAlignment="1">
      <alignment horizontal="center" vertical="top"/>
    </xf>
    <xf numFmtId="168" fontId="33" fillId="6" borderId="0" xfId="0" applyNumberFormat="1" applyFont="1" applyFill="1" applyAlignment="1">
      <alignment horizontal="center" vertical="top"/>
    </xf>
    <xf numFmtId="173" fontId="33" fillId="7" borderId="54" xfId="5" applyNumberFormat="1" applyFont="1" applyFill="1" applyBorder="1" applyAlignment="1" applyProtection="1">
      <alignment horizontal="center" vertical="top"/>
    </xf>
    <xf numFmtId="173" fontId="33" fillId="7" borderId="54" xfId="2" applyNumberFormat="1" applyFont="1" applyFill="1" applyBorder="1" applyAlignment="1" applyProtection="1">
      <alignment horizontal="center" vertical="top"/>
    </xf>
    <xf numFmtId="168" fontId="37" fillId="7" borderId="54" xfId="0" applyNumberFormat="1" applyFont="1" applyFill="1" applyBorder="1" applyAlignment="1">
      <alignment horizontal="center" vertical="top"/>
    </xf>
    <xf numFmtId="173" fontId="33" fillId="7" borderId="55" xfId="5" applyNumberFormat="1" applyFont="1" applyFill="1" applyBorder="1" applyAlignment="1" applyProtection="1">
      <alignment horizontal="center" vertical="top"/>
    </xf>
    <xf numFmtId="173" fontId="37" fillId="7" borderId="54" xfId="5" applyNumberFormat="1" applyFont="1" applyFill="1" applyBorder="1" applyAlignment="1" applyProtection="1">
      <alignment horizontal="center" vertical="top"/>
    </xf>
    <xf numFmtId="168" fontId="101" fillId="7" borderId="54" xfId="0" applyNumberFormat="1" applyFont="1" applyFill="1" applyBorder="1" applyAlignment="1">
      <alignment horizontal="center" vertical="top"/>
    </xf>
    <xf numFmtId="173" fontId="37" fillId="7" borderId="54" xfId="0" applyNumberFormat="1" applyFont="1" applyFill="1" applyBorder="1" applyAlignment="1">
      <alignment horizontal="center" vertical="top"/>
    </xf>
    <xf numFmtId="173" fontId="37" fillId="6" borderId="0" xfId="5" applyNumberFormat="1" applyFont="1" applyFill="1" applyBorder="1" applyAlignment="1" applyProtection="1">
      <alignment horizontal="center" vertical="top"/>
    </xf>
    <xf numFmtId="173" fontId="37" fillId="6" borderId="0" xfId="0" applyNumberFormat="1" applyFont="1" applyFill="1" applyAlignment="1">
      <alignment horizontal="center" vertical="top"/>
    </xf>
    <xf numFmtId="0" fontId="102" fillId="6" borderId="0" xfId="0" applyFont="1" applyFill="1" applyAlignment="1">
      <alignment horizontal="center" vertical="top"/>
    </xf>
    <xf numFmtId="0" fontId="64" fillId="4" borderId="0" xfId="0" applyFont="1" applyFill="1" applyAlignment="1">
      <alignment horizontal="center" vertical="top"/>
    </xf>
    <xf numFmtId="0" fontId="36" fillId="4" borderId="0" xfId="0" applyFont="1" applyFill="1" applyAlignment="1">
      <alignment vertical="top"/>
    </xf>
    <xf numFmtId="0" fontId="98" fillId="6" borderId="0" xfId="0" applyFont="1" applyFill="1" applyAlignment="1">
      <alignment vertical="top"/>
    </xf>
    <xf numFmtId="0" fontId="96" fillId="4" borderId="0" xfId="0" applyFont="1" applyFill="1" applyAlignment="1">
      <alignment vertical="top"/>
    </xf>
    <xf numFmtId="171" fontId="72" fillId="4" borderId="0" xfId="0" applyNumberFormat="1" applyFont="1" applyFill="1" applyAlignment="1">
      <alignment horizontal="center" vertical="top"/>
    </xf>
    <xf numFmtId="0" fontId="33" fillId="2" borderId="0" xfId="0" applyFont="1" applyFill="1" applyAlignment="1">
      <alignment horizontal="center" vertical="top"/>
    </xf>
    <xf numFmtId="171" fontId="72" fillId="4" borderId="56" xfId="0" applyNumberFormat="1" applyFont="1" applyFill="1" applyBorder="1" applyAlignment="1">
      <alignment horizontal="center" vertical="top"/>
    </xf>
    <xf numFmtId="0" fontId="103" fillId="6" borderId="54" xfId="0" applyFont="1" applyFill="1" applyBorder="1" applyAlignment="1">
      <alignment horizontal="center" vertical="top"/>
    </xf>
    <xf numFmtId="171" fontId="72" fillId="4" borderId="57" xfId="0" applyNumberFormat="1" applyFont="1" applyFill="1" applyBorder="1" applyAlignment="1">
      <alignment horizontal="center" vertical="top"/>
    </xf>
    <xf numFmtId="165" fontId="33" fillId="6" borderId="0" xfId="0" applyNumberFormat="1" applyFont="1" applyFill="1" applyAlignment="1">
      <alignment horizontal="center" vertical="top"/>
    </xf>
    <xf numFmtId="0" fontId="2" fillId="8" borderId="0" xfId="0" applyFont="1" applyFill="1" applyBorder="1"/>
    <xf numFmtId="0" fontId="104" fillId="8" borderId="0" xfId="0" applyFont="1" applyFill="1" applyBorder="1" applyAlignment="1">
      <alignment vertical="top" wrapText="1"/>
    </xf>
    <xf numFmtId="0" fontId="94" fillId="8" borderId="0" xfId="0" applyFont="1" applyFill="1" applyBorder="1" applyAlignment="1">
      <alignment wrapText="1"/>
    </xf>
    <xf numFmtId="0" fontId="95" fillId="4" borderId="0" xfId="0" applyFont="1" applyFill="1" applyBorder="1" applyAlignment="1" applyProtection="1">
      <alignment vertical="top"/>
    </xf>
    <xf numFmtId="0" fontId="95" fillId="4" borderId="0" xfId="0" applyFont="1" applyFill="1" applyBorder="1" applyAlignment="1" applyProtection="1">
      <alignment horizontal="center" vertical="top"/>
    </xf>
    <xf numFmtId="0" fontId="105" fillId="2" borderId="0" xfId="0" applyFont="1" applyFill="1" applyBorder="1" applyAlignment="1" applyProtection="1">
      <alignment vertical="top"/>
    </xf>
    <xf numFmtId="0" fontId="105" fillId="4" borderId="0" xfId="0" applyFont="1" applyFill="1" applyBorder="1" applyAlignment="1" applyProtection="1">
      <alignment vertical="top"/>
    </xf>
    <xf numFmtId="0" fontId="33" fillId="6" borderId="0" xfId="0" applyFont="1" applyFill="1" applyBorder="1" applyAlignment="1" applyProtection="1">
      <alignment horizontal="center" vertical="top"/>
    </xf>
    <xf numFmtId="0" fontId="37" fillId="6" borderId="0" xfId="0" applyFont="1" applyFill="1" applyBorder="1" applyAlignment="1" applyProtection="1">
      <alignment vertical="top"/>
    </xf>
    <xf numFmtId="0" fontId="106" fillId="6" borderId="0" xfId="0" applyFont="1" applyFill="1" applyBorder="1" applyAlignment="1" applyProtection="1">
      <alignment horizontal="center" vertical="top"/>
    </xf>
    <xf numFmtId="0" fontId="101" fillId="6" borderId="0" xfId="0" applyFont="1" applyFill="1" applyBorder="1" applyAlignment="1" applyProtection="1">
      <alignment vertical="top"/>
    </xf>
    <xf numFmtId="0" fontId="37" fillId="6" borderId="0" xfId="0" applyFont="1" applyFill="1" applyBorder="1" applyAlignment="1" applyProtection="1">
      <alignment horizontal="center" vertical="top"/>
    </xf>
    <xf numFmtId="0" fontId="37" fillId="4" borderId="0" xfId="0" applyFont="1" applyFill="1"/>
    <xf numFmtId="0" fontId="96" fillId="2" borderId="0" xfId="0" applyFont="1" applyFill="1" applyBorder="1" applyAlignment="1" applyProtection="1">
      <alignment horizontal="left" vertical="top"/>
    </xf>
    <xf numFmtId="168" fontId="33" fillId="4" borderId="0" xfId="0" applyNumberFormat="1" applyFont="1" applyFill="1"/>
    <xf numFmtId="0" fontId="69" fillId="2" borderId="0" xfId="0" applyFont="1" applyFill="1" applyBorder="1" applyAlignment="1" applyProtection="1">
      <alignment vertical="top"/>
    </xf>
    <xf numFmtId="0" fontId="107" fillId="2" borderId="0" xfId="0" applyFont="1" applyFill="1" applyBorder="1" applyAlignment="1" applyProtection="1">
      <alignment vertical="top"/>
    </xf>
    <xf numFmtId="168" fontId="33" fillId="7" borderId="54" xfId="0" applyNumberFormat="1" applyFont="1" applyFill="1" applyBorder="1" applyAlignment="1" applyProtection="1">
      <alignment horizontal="center" vertical="top"/>
    </xf>
    <xf numFmtId="168" fontId="37" fillId="7" borderId="54" xfId="0" applyNumberFormat="1" applyFont="1" applyFill="1" applyBorder="1" applyAlignment="1" applyProtection="1">
      <alignment horizontal="center" vertical="top"/>
    </xf>
    <xf numFmtId="173" fontId="93" fillId="7" borderId="54" xfId="0" applyNumberFormat="1" applyFont="1" applyFill="1" applyBorder="1" applyAlignment="1" applyProtection="1">
      <alignment horizontal="center" vertical="top"/>
    </xf>
    <xf numFmtId="173" fontId="104" fillId="7" borderId="54" xfId="0" applyNumberFormat="1" applyFont="1" applyFill="1" applyBorder="1" applyAlignment="1" applyProtection="1">
      <alignment horizontal="center" vertical="top"/>
    </xf>
    <xf numFmtId="168" fontId="34" fillId="7" borderId="54" xfId="0" applyNumberFormat="1" applyFont="1" applyFill="1" applyBorder="1" applyAlignment="1" applyProtection="1">
      <alignment horizontal="center" vertical="top"/>
    </xf>
    <xf numFmtId="168" fontId="33" fillId="7" borderId="54" xfId="0" applyNumberFormat="1" applyFont="1" applyFill="1" applyBorder="1" applyAlignment="1" applyProtection="1">
      <alignment vertical="top"/>
    </xf>
    <xf numFmtId="0" fontId="69" fillId="6" borderId="0" xfId="0" applyFont="1" applyFill="1" applyBorder="1" applyAlignment="1" applyProtection="1">
      <alignment horizontal="left" vertical="top"/>
    </xf>
    <xf numFmtId="14" fontId="17" fillId="4" borderId="15" xfId="0" applyNumberFormat="1" applyFont="1" applyFill="1" applyBorder="1"/>
    <xf numFmtId="14" fontId="17" fillId="4" borderId="14" xfId="0" applyNumberFormat="1" applyFont="1" applyFill="1" applyBorder="1"/>
    <xf numFmtId="14" fontId="17" fillId="4" borderId="16" xfId="0" applyNumberFormat="1" applyFont="1" applyFill="1" applyBorder="1"/>
    <xf numFmtId="14" fontId="17" fillId="4" borderId="13" xfId="0" applyNumberFormat="1" applyFont="1" applyFill="1" applyBorder="1"/>
    <xf numFmtId="3" fontId="17" fillId="0" borderId="0" xfId="0" applyNumberFormat="1" applyFont="1" applyFill="1" applyBorder="1" applyAlignment="1" applyProtection="1">
      <alignment horizontal="left"/>
    </xf>
    <xf numFmtId="3" fontId="17" fillId="0" borderId="0" xfId="0" applyNumberFormat="1" applyFont="1" applyFill="1" applyBorder="1" applyAlignment="1" applyProtection="1">
      <alignment horizontal="center"/>
    </xf>
    <xf numFmtId="3" fontId="17" fillId="0" borderId="10" xfId="0" applyNumberFormat="1" applyFont="1" applyFill="1" applyBorder="1" applyAlignment="1" applyProtection="1">
      <alignment horizontal="left"/>
    </xf>
    <xf numFmtId="0" fontId="17" fillId="0" borderId="0" xfId="0" applyFont="1" applyAlignment="1">
      <alignment vertical="center" wrapText="1"/>
    </xf>
    <xf numFmtId="0" fontId="17" fillId="0" borderId="0" xfId="0" applyFont="1"/>
    <xf numFmtId="0" fontId="17" fillId="4" borderId="11" xfId="0" applyFont="1" applyFill="1" applyBorder="1"/>
    <xf numFmtId="0" fontId="17" fillId="4" borderId="12" xfId="0" applyFont="1" applyFill="1" applyBorder="1"/>
    <xf numFmtId="0" fontId="108" fillId="0" borderId="0" xfId="0" applyFont="1" applyAlignment="1">
      <alignment horizontal="center" vertical="center" wrapText="1"/>
    </xf>
    <xf numFmtId="3" fontId="21" fillId="0" borderId="0" xfId="0" applyNumberFormat="1" applyFont="1" applyFill="1" applyBorder="1" applyAlignment="1" applyProtection="1">
      <alignment horizontal="left"/>
    </xf>
    <xf numFmtId="0" fontId="111" fillId="0" borderId="0" xfId="0" applyFont="1" applyAlignment="1">
      <alignment horizontal="left"/>
    </xf>
    <xf numFmtId="0" fontId="17" fillId="0" borderId="0" xfId="0" applyFont="1" applyAlignment="1">
      <alignment horizontal="left"/>
    </xf>
    <xf numFmtId="0" fontId="22" fillId="0" borderId="0" xfId="0" applyFont="1" applyAlignment="1">
      <alignment horizontal="center"/>
    </xf>
    <xf numFmtId="0" fontId="21" fillId="3" borderId="0" xfId="0" applyFont="1" applyFill="1" applyAlignment="1">
      <alignment horizontal="left"/>
    </xf>
    <xf numFmtId="0" fontId="17" fillId="3" borderId="0" xfId="0" applyFont="1" applyFill="1" applyAlignment="1">
      <alignment horizontal="left"/>
    </xf>
    <xf numFmtId="14" fontId="15" fillId="0" borderId="0" xfId="0" applyNumberFormat="1" applyFont="1"/>
    <xf numFmtId="0" fontId="21" fillId="0" borderId="0" xfId="0" applyFont="1" applyAlignment="1">
      <alignment horizontal="left"/>
    </xf>
    <xf numFmtId="0" fontId="23" fillId="0" borderId="0" xfId="0" applyFont="1" applyAlignment="1">
      <alignment horizontal="left"/>
    </xf>
    <xf numFmtId="0" fontId="17" fillId="9" borderId="0" xfId="0" applyFont="1" applyFill="1" applyAlignment="1">
      <alignment horizontal="left"/>
    </xf>
    <xf numFmtId="10" fontId="17" fillId="3" borderId="0" xfId="0" applyNumberFormat="1" applyFont="1" applyFill="1" applyAlignment="1">
      <alignment horizontal="left"/>
    </xf>
    <xf numFmtId="166" fontId="17" fillId="3" borderId="0" xfId="0" applyNumberFormat="1" applyFont="1" applyFill="1" applyAlignment="1">
      <alignment horizontal="left"/>
    </xf>
    <xf numFmtId="179" fontId="17" fillId="0" borderId="0" xfId="0" applyNumberFormat="1" applyFont="1" applyAlignment="1">
      <alignment horizontal="right"/>
    </xf>
    <xf numFmtId="0" fontId="30" fillId="0" borderId="0" xfId="0" applyFont="1" applyAlignment="1">
      <alignment horizontal="left"/>
    </xf>
    <xf numFmtId="3" fontId="17" fillId="0" borderId="0" xfId="0" applyNumberFormat="1" applyFont="1" applyAlignment="1">
      <alignment horizontal="left"/>
    </xf>
    <xf numFmtId="0" fontId="17" fillId="10" borderId="0" xfId="0" applyFont="1" applyFill="1" applyAlignment="1">
      <alignment horizontal="left"/>
    </xf>
    <xf numFmtId="10" fontId="17" fillId="5" borderId="0" xfId="0" applyNumberFormat="1" applyFont="1" applyFill="1" applyAlignment="1">
      <alignment horizontal="left"/>
    </xf>
    <xf numFmtId="9" fontId="17" fillId="0" borderId="0" xfId="0" applyNumberFormat="1" applyFont="1" applyAlignment="1">
      <alignment horizontal="left"/>
    </xf>
    <xf numFmtId="179" fontId="17" fillId="3" borderId="0" xfId="3" applyNumberFormat="1" applyFont="1" applyFill="1" applyAlignment="1" applyProtection="1">
      <alignment horizontal="right"/>
    </xf>
    <xf numFmtId="10" fontId="17" fillId="0" borderId="0" xfId="0" applyNumberFormat="1" applyFont="1" applyAlignment="1">
      <alignment horizontal="left"/>
    </xf>
    <xf numFmtId="179" fontId="17" fillId="0" borderId="0" xfId="3" applyNumberFormat="1" applyFont="1" applyAlignment="1" applyProtection="1">
      <alignment horizontal="right"/>
    </xf>
    <xf numFmtId="0" fontId="4" fillId="0" borderId="0" xfId="1" applyAlignment="1" applyProtection="1">
      <alignment horizontal="left"/>
    </xf>
    <xf numFmtId="49" fontId="17" fillId="0" borderId="0" xfId="0" applyNumberFormat="1" applyFont="1" applyAlignment="1">
      <alignment horizontal="center"/>
    </xf>
    <xf numFmtId="0" fontId="17" fillId="11" borderId="0" xfId="0" applyFont="1" applyFill="1" applyAlignment="1">
      <alignment horizontal="left"/>
    </xf>
    <xf numFmtId="0" fontId="65" fillId="0" borderId="0" xfId="0" applyFont="1" applyAlignment="1">
      <alignment horizontal="left"/>
    </xf>
    <xf numFmtId="0" fontId="26" fillId="0" borderId="0" xfId="0" applyFont="1" applyAlignment="1">
      <alignment horizontal="left"/>
    </xf>
    <xf numFmtId="2" fontId="17" fillId="0" borderId="0" xfId="0" applyNumberFormat="1" applyFont="1" applyAlignment="1">
      <alignment horizontal="left"/>
    </xf>
    <xf numFmtId="2" fontId="17" fillId="5" borderId="0" xfId="0" applyNumberFormat="1" applyFont="1" applyFill="1" applyAlignment="1">
      <alignment horizontal="left"/>
    </xf>
    <xf numFmtId="0" fontId="27" fillId="0" borderId="0" xfId="0" applyFont="1"/>
    <xf numFmtId="9" fontId="17" fillId="5" borderId="0" xfId="0" applyNumberFormat="1" applyFont="1" applyFill="1" applyAlignment="1">
      <alignment horizontal="left"/>
    </xf>
    <xf numFmtId="0" fontId="14" fillId="0" borderId="0" xfId="0" applyFont="1" applyAlignment="1">
      <alignment horizontal="left"/>
    </xf>
    <xf numFmtId="167" fontId="15" fillId="5" borderId="0" xfId="0" applyNumberFormat="1" applyFont="1" applyFill="1" applyAlignment="1">
      <alignment horizontal="center"/>
    </xf>
    <xf numFmtId="9" fontId="15" fillId="0" borderId="0" xfId="0" applyNumberFormat="1" applyFont="1" applyAlignment="1">
      <alignment horizontal="center"/>
    </xf>
    <xf numFmtId="0" fontId="28" fillId="0" borderId="0" xfId="0" applyFont="1" applyAlignment="1">
      <alignment horizontal="left"/>
    </xf>
    <xf numFmtId="44" fontId="28" fillId="0" borderId="0" xfId="0" applyNumberFormat="1" applyFont="1" applyAlignment="1">
      <alignment horizontal="left"/>
    </xf>
    <xf numFmtId="179" fontId="17" fillId="5" borderId="0" xfId="3" applyNumberFormat="1" applyFont="1" applyFill="1" applyAlignment="1" applyProtection="1">
      <alignment horizontal="right"/>
    </xf>
    <xf numFmtId="49" fontId="17" fillId="0" borderId="0" xfId="0" applyNumberFormat="1" applyFont="1" applyAlignment="1">
      <alignment horizontal="left"/>
    </xf>
    <xf numFmtId="49" fontId="17" fillId="4" borderId="0" xfId="0" applyNumberFormat="1" applyFont="1" applyFill="1" applyAlignment="1">
      <alignment horizontal="left"/>
    </xf>
    <xf numFmtId="0" fontId="16" fillId="0" borderId="0" xfId="0" applyFont="1" applyAlignment="1">
      <alignment horizontal="left"/>
    </xf>
    <xf numFmtId="0" fontId="29" fillId="0" borderId="0" xfId="0" applyFont="1" applyAlignment="1">
      <alignment horizontal="left"/>
    </xf>
    <xf numFmtId="0" fontId="112" fillId="0" borderId="0" xfId="4" applyFont="1" applyAlignment="1">
      <alignment horizontal="left" vertical="center"/>
    </xf>
    <xf numFmtId="169" fontId="113" fillId="0" borderId="0" xfId="4" applyNumberFormat="1" applyFont="1"/>
    <xf numFmtId="0" fontId="114" fillId="0" borderId="0" xfId="4" applyFont="1"/>
    <xf numFmtId="10" fontId="21" fillId="0" borderId="0" xfId="4" applyNumberFormat="1" applyFont="1" applyAlignment="1">
      <alignment horizontal="center" vertical="center"/>
    </xf>
    <xf numFmtId="0" fontId="17" fillId="0" borderId="0" xfId="4" applyFont="1" applyAlignment="1">
      <alignment horizontal="center" vertical="center"/>
    </xf>
    <xf numFmtId="0" fontId="17" fillId="0" borderId="0" xfId="4" applyFont="1" applyAlignment="1">
      <alignment horizontal="left" vertical="center"/>
    </xf>
    <xf numFmtId="0" fontId="21" fillId="0" borderId="0" xfId="4" applyFont="1" applyAlignment="1">
      <alignment horizontal="left" vertical="center"/>
    </xf>
    <xf numFmtId="1" fontId="21" fillId="0" borderId="0" xfId="4" applyNumberFormat="1" applyFont="1" applyAlignment="1">
      <alignment horizontal="center" vertical="center"/>
    </xf>
    <xf numFmtId="1" fontId="21" fillId="0" borderId="0" xfId="4" applyNumberFormat="1" applyFont="1" applyAlignment="1">
      <alignment horizontal="left" vertical="center"/>
    </xf>
    <xf numFmtId="0" fontId="17" fillId="0" borderId="0" xfId="4" applyFont="1" applyAlignment="1">
      <alignment horizontal="left"/>
    </xf>
    <xf numFmtId="3" fontId="17" fillId="5" borderId="0" xfId="4" applyNumberFormat="1" applyFont="1" applyFill="1" applyAlignment="1">
      <alignment horizontal="center"/>
    </xf>
    <xf numFmtId="0" fontId="17" fillId="5" borderId="0" xfId="4" applyFont="1" applyFill="1" applyAlignment="1">
      <alignment horizontal="center"/>
    </xf>
    <xf numFmtId="0" fontId="17" fillId="0" borderId="0" xfId="4" applyFont="1" applyAlignment="1">
      <alignment horizontal="center"/>
    </xf>
    <xf numFmtId="49" fontId="115" fillId="4" borderId="0" xfId="0" applyNumberFormat="1" applyFont="1" applyFill="1" applyAlignment="1" applyProtection="1">
      <alignment horizontal="center" vertical="top"/>
      <protection locked="0"/>
    </xf>
    <xf numFmtId="0" fontId="116" fillId="0" borderId="0" xfId="0" applyFont="1" applyAlignment="1">
      <alignment horizontal="center"/>
    </xf>
    <xf numFmtId="49" fontId="17" fillId="0" borderId="0" xfId="4" applyNumberFormat="1" applyFont="1" applyAlignment="1">
      <alignment horizontal="left" vertical="center"/>
    </xf>
    <xf numFmtId="3" fontId="17" fillId="0" borderId="0" xfId="4" applyNumberFormat="1" applyFont="1" applyAlignment="1">
      <alignment horizontal="center"/>
    </xf>
    <xf numFmtId="3" fontId="30" fillId="5" borderId="0" xfId="4" applyNumberFormat="1" applyFont="1" applyFill="1" applyAlignment="1">
      <alignment horizontal="center"/>
    </xf>
    <xf numFmtId="3" fontId="22" fillId="0" borderId="0" xfId="0" applyNumberFormat="1" applyFont="1" applyAlignment="1">
      <alignment horizontal="center"/>
    </xf>
    <xf numFmtId="3" fontId="117" fillId="5" borderId="0" xfId="4" applyNumberFormat="1" applyFont="1" applyFill="1" applyAlignment="1">
      <alignment horizontal="center"/>
    </xf>
    <xf numFmtId="3" fontId="21" fillId="5" borderId="0" xfId="4" applyNumberFormat="1" applyFont="1" applyFill="1" applyAlignment="1">
      <alignment horizontal="center"/>
    </xf>
    <xf numFmtId="49" fontId="33" fillId="7" borderId="54" xfId="5" applyNumberFormat="1" applyFont="1" applyFill="1" applyBorder="1" applyAlignment="1">
      <alignment horizontal="right" vertical="top"/>
    </xf>
    <xf numFmtId="0" fontId="99" fillId="6" borderId="54" xfId="0" applyFont="1" applyFill="1" applyBorder="1" applyAlignment="1">
      <alignment horizontal="center" vertical="top"/>
    </xf>
    <xf numFmtId="180" fontId="33" fillId="7" borderId="54" xfId="3" applyNumberFormat="1" applyFont="1" applyFill="1" applyBorder="1" applyAlignment="1" applyProtection="1">
      <alignment horizontal="center" vertical="top"/>
    </xf>
    <xf numFmtId="0" fontId="0" fillId="6" borderId="0" xfId="0" applyFill="1"/>
    <xf numFmtId="170" fontId="33" fillId="7" borderId="54" xfId="0" applyNumberFormat="1" applyFont="1" applyFill="1" applyBorder="1" applyAlignment="1">
      <alignment horizontal="center" vertical="top"/>
    </xf>
    <xf numFmtId="44" fontId="37" fillId="7" borderId="54" xfId="0" applyNumberFormat="1" applyFont="1" applyFill="1" applyBorder="1" applyAlignment="1">
      <alignment horizontal="center" vertical="top"/>
    </xf>
    <xf numFmtId="44" fontId="33" fillId="7" borderId="54" xfId="0" applyNumberFormat="1" applyFont="1" applyFill="1" applyBorder="1" applyAlignment="1">
      <alignment horizontal="center" vertical="top"/>
    </xf>
    <xf numFmtId="44" fontId="33" fillId="6" borderId="0" xfId="0" applyNumberFormat="1" applyFont="1" applyFill="1" applyAlignment="1">
      <alignment horizontal="center" vertical="top"/>
    </xf>
    <xf numFmtId="44" fontId="33" fillId="6" borderId="0" xfId="0" applyNumberFormat="1" applyFont="1" applyFill="1" applyAlignment="1">
      <alignment vertical="top"/>
    </xf>
    <xf numFmtId="44" fontId="33" fillId="7" borderId="54" xfId="5" applyNumberFormat="1" applyFont="1" applyFill="1" applyBorder="1" applyAlignment="1" applyProtection="1">
      <alignment horizontal="center" vertical="top"/>
    </xf>
    <xf numFmtId="44" fontId="33" fillId="7" borderId="54" xfId="3" applyNumberFormat="1" applyFont="1" applyFill="1" applyBorder="1" applyAlignment="1" applyProtection="1">
      <alignment horizontal="center" vertical="top"/>
    </xf>
    <xf numFmtId="168" fontId="20" fillId="7" borderId="47" xfId="0" applyNumberFormat="1" applyFont="1" applyFill="1" applyBorder="1" applyAlignment="1" applyProtection="1">
      <alignment horizontal="right" vertical="top"/>
    </xf>
    <xf numFmtId="168" fontId="20" fillId="6" borderId="0" xfId="0" applyNumberFormat="1" applyFont="1" applyFill="1" applyBorder="1" applyAlignment="1" applyProtection="1">
      <alignment horizontal="right" vertical="top"/>
    </xf>
    <xf numFmtId="0" fontId="118" fillId="4" borderId="0" xfId="0" applyFont="1" applyFill="1" applyBorder="1" applyAlignment="1" applyProtection="1">
      <alignment horizontal="center" vertical="top"/>
    </xf>
    <xf numFmtId="0" fontId="119" fillId="4" borderId="0" xfId="0" applyFont="1" applyFill="1" applyBorder="1" applyAlignment="1" applyProtection="1">
      <alignment vertical="top"/>
    </xf>
    <xf numFmtId="0" fontId="119" fillId="6" borderId="0" xfId="0" applyFont="1" applyFill="1" applyBorder="1" applyAlignment="1" applyProtection="1">
      <alignment vertical="top"/>
    </xf>
    <xf numFmtId="0" fontId="6" fillId="6" borderId="0" xfId="0" applyFont="1" applyFill="1" applyBorder="1" applyAlignment="1">
      <alignment wrapText="1"/>
    </xf>
    <xf numFmtId="0" fontId="17" fillId="0" borderId="10" xfId="0" applyFont="1" applyFill="1" applyBorder="1" applyAlignment="1" applyProtection="1">
      <alignment horizontal="left"/>
    </xf>
    <xf numFmtId="0" fontId="17" fillId="0" borderId="0" xfId="0" applyFont="1" applyFill="1" applyAlignment="1" applyProtection="1">
      <alignment horizontal="right"/>
    </xf>
    <xf numFmtId="0" fontId="17" fillId="0" borderId="0" xfId="0" applyFont="1" applyAlignment="1">
      <alignment horizontal="right"/>
    </xf>
    <xf numFmtId="3" fontId="108" fillId="0" borderId="10" xfId="0" applyNumberFormat="1" applyFont="1" applyFill="1" applyBorder="1" applyAlignment="1" applyProtection="1">
      <alignment horizontal="left"/>
    </xf>
    <xf numFmtId="0" fontId="17" fillId="0" borderId="10" xfId="0" applyFont="1" applyBorder="1" applyAlignment="1" applyProtection="1">
      <alignment horizontal="left"/>
    </xf>
    <xf numFmtId="0" fontId="120" fillId="0" borderId="0" xfId="0" applyFont="1"/>
    <xf numFmtId="174" fontId="17" fillId="0" borderId="0" xfId="0" applyNumberFormat="1" applyFont="1" applyFill="1" applyAlignment="1" applyProtection="1">
      <alignment horizontal="left"/>
    </xf>
    <xf numFmtId="179" fontId="17" fillId="5" borderId="0" xfId="0" applyNumberFormat="1" applyFont="1" applyFill="1" applyAlignment="1">
      <alignment horizontal="right"/>
    </xf>
    <xf numFmtId="3" fontId="17" fillId="0" borderId="0" xfId="0" applyNumberFormat="1" applyFont="1" applyFill="1" applyBorder="1" applyAlignment="1" applyProtection="1">
      <alignment horizontal="left" textRotation="180"/>
    </xf>
    <xf numFmtId="3" fontId="108" fillId="0" borderId="0" xfId="0" applyNumberFormat="1" applyFont="1" applyFill="1" applyBorder="1" applyAlignment="1" applyProtection="1">
      <alignment horizontal="center"/>
    </xf>
    <xf numFmtId="0" fontId="123" fillId="0" borderId="0" xfId="0" applyFont="1" applyFill="1" applyAlignment="1" applyProtection="1">
      <alignment horizontal="center"/>
    </xf>
    <xf numFmtId="0" fontId="33" fillId="7" borderId="0" xfId="0" applyFont="1" applyFill="1" applyBorder="1"/>
    <xf numFmtId="0" fontId="33" fillId="7" borderId="0" xfId="0" applyFont="1" applyFill="1" applyBorder="1" applyAlignment="1"/>
    <xf numFmtId="0" fontId="124" fillId="6" borderId="0" xfId="0" applyFont="1" applyFill="1" applyBorder="1" applyAlignment="1" applyProtection="1">
      <protection locked="0"/>
    </xf>
    <xf numFmtId="0" fontId="4" fillId="0" borderId="0" xfId="1" applyAlignment="1" applyProtection="1"/>
    <xf numFmtId="0" fontId="0" fillId="6" borderId="0" xfId="0" applyFill="1" applyAlignment="1"/>
    <xf numFmtId="0" fontId="4" fillId="6" borderId="0" xfId="1" applyFill="1" applyBorder="1" applyAlignment="1" applyProtection="1"/>
    <xf numFmtId="0" fontId="6" fillId="6" borderId="0" xfId="0" applyFont="1" applyFill="1" applyBorder="1" applyAlignment="1">
      <alignment horizontal="center"/>
    </xf>
    <xf numFmtId="0" fontId="6" fillId="6" borderId="0" xfId="0" applyFont="1" applyFill="1"/>
    <xf numFmtId="0" fontId="125" fillId="6" borderId="0" xfId="1" applyFont="1" applyFill="1" applyBorder="1" applyAlignment="1" applyProtection="1"/>
    <xf numFmtId="0" fontId="126" fillId="7" borderId="0" xfId="1" applyFont="1" applyFill="1" applyBorder="1" applyAlignment="1" applyProtection="1"/>
    <xf numFmtId="0" fontId="128" fillId="6" borderId="0" xfId="1" applyFont="1" applyFill="1" applyBorder="1" applyAlignment="1" applyProtection="1"/>
    <xf numFmtId="0" fontId="74" fillId="6" borderId="0" xfId="0" applyFont="1" applyFill="1" applyBorder="1" applyAlignment="1"/>
    <xf numFmtId="0" fontId="33" fillId="0" borderId="17" xfId="0" applyFont="1" applyBorder="1" applyProtection="1">
      <protection locked="0"/>
    </xf>
    <xf numFmtId="0" fontId="48" fillId="4" borderId="29" xfId="0" applyFont="1" applyFill="1" applyBorder="1" applyAlignment="1" applyProtection="1">
      <alignment horizontal="center" vertical="top"/>
      <protection locked="0"/>
    </xf>
    <xf numFmtId="0" fontId="129" fillId="4" borderId="0" xfId="0" applyFont="1" applyFill="1" applyBorder="1"/>
    <xf numFmtId="181" fontId="17" fillId="0" borderId="0" xfId="0" applyNumberFormat="1" applyFont="1" applyAlignment="1" applyProtection="1">
      <alignment horizontal="left"/>
    </xf>
    <xf numFmtId="1" fontId="17" fillId="0" borderId="0" xfId="0" applyNumberFormat="1" applyFont="1" applyAlignment="1" applyProtection="1">
      <alignment horizontal="left"/>
    </xf>
    <xf numFmtId="177" fontId="17" fillId="0" borderId="0" xfId="5" applyNumberFormat="1" applyFont="1" applyAlignment="1" applyProtection="1">
      <alignment horizontal="left"/>
    </xf>
    <xf numFmtId="176" fontId="1" fillId="7" borderId="6" xfId="5" applyNumberFormat="1" applyFont="1" applyFill="1" applyBorder="1" applyAlignment="1" applyProtection="1">
      <alignment horizontal="center" vertical="top"/>
      <protection locked="0"/>
    </xf>
    <xf numFmtId="0" fontId="9" fillId="0" borderId="0" xfId="0" applyFont="1" applyFill="1" applyBorder="1" applyAlignment="1" applyProtection="1">
      <alignment vertical="top"/>
    </xf>
    <xf numFmtId="0" fontId="6" fillId="0" borderId="0" xfId="0" applyFont="1" applyFill="1" applyBorder="1" applyAlignment="1" applyProtection="1">
      <alignment horizontal="center" vertical="top"/>
    </xf>
    <xf numFmtId="0" fontId="44" fillId="0" borderId="0" xfId="0" applyFont="1" applyFill="1" applyBorder="1" applyAlignment="1" applyProtection="1">
      <alignment vertical="top"/>
    </xf>
    <xf numFmtId="0" fontId="130" fillId="4" borderId="0" xfId="0" applyFont="1" applyFill="1" applyBorder="1"/>
    <xf numFmtId="0" fontId="33" fillId="6" borderId="0" xfId="0" applyFont="1" applyFill="1"/>
    <xf numFmtId="0" fontId="132" fillId="0" borderId="0" xfId="0" applyFont="1" applyAlignment="1">
      <alignment horizontal="left"/>
    </xf>
    <xf numFmtId="10" fontId="17" fillId="5" borderId="0" xfId="2" applyNumberFormat="1" applyFont="1" applyFill="1" applyAlignment="1">
      <alignment horizontal="left"/>
    </xf>
    <xf numFmtId="179" fontId="17" fillId="4" borderId="0" xfId="3" applyNumberFormat="1" applyFont="1" applyFill="1" applyAlignment="1" applyProtection="1">
      <alignment horizontal="right"/>
    </xf>
    <xf numFmtId="10" fontId="17" fillId="3" borderId="0" xfId="0" applyNumberFormat="1" applyFont="1" applyFill="1" applyAlignment="1">
      <alignment horizontal="right"/>
    </xf>
    <xf numFmtId="0" fontId="17" fillId="0" borderId="0" xfId="0" applyFont="1" applyAlignment="1">
      <alignment horizontal="center"/>
    </xf>
    <xf numFmtId="14" fontId="114" fillId="0" borderId="0" xfId="4" applyNumberFormat="1" applyFont="1" applyAlignment="1">
      <alignment horizontal="center"/>
    </xf>
    <xf numFmtId="3" fontId="17" fillId="12" borderId="0" xfId="4" applyNumberFormat="1" applyFont="1" applyFill="1" applyAlignment="1">
      <alignment horizontal="center" vertical="center"/>
    </xf>
    <xf numFmtId="170" fontId="33" fillId="6" borderId="0" xfId="0" applyNumberFormat="1" applyFont="1" applyFill="1" applyAlignment="1">
      <alignment horizontal="center" vertical="top"/>
    </xf>
    <xf numFmtId="170" fontId="33" fillId="6" borderId="0" xfId="0" applyNumberFormat="1" applyFont="1" applyFill="1" applyAlignment="1">
      <alignment vertical="top"/>
    </xf>
    <xf numFmtId="165" fontId="33" fillId="4" borderId="0" xfId="0" applyNumberFormat="1" applyFont="1" applyFill="1" applyAlignment="1">
      <alignment horizontal="center" vertical="top"/>
    </xf>
    <xf numFmtId="168" fontId="33" fillId="7" borderId="56" xfId="0" applyNumberFormat="1" applyFont="1" applyFill="1" applyBorder="1" applyAlignment="1" applyProtection="1">
      <alignment horizontal="center" vertical="top"/>
    </xf>
    <xf numFmtId="168" fontId="37" fillId="7" borderId="56" xfId="0" applyNumberFormat="1" applyFont="1" applyFill="1" applyBorder="1" applyAlignment="1" applyProtection="1">
      <alignment horizontal="center" vertical="top"/>
    </xf>
    <xf numFmtId="168" fontId="33" fillId="7" borderId="55" xfId="0" applyNumberFormat="1" applyFont="1" applyFill="1" applyBorder="1" applyAlignment="1" applyProtection="1">
      <alignment horizontal="center" vertical="top"/>
    </xf>
    <xf numFmtId="168" fontId="33" fillId="6" borderId="0" xfId="0" applyNumberFormat="1" applyFont="1" applyFill="1" applyBorder="1" applyAlignment="1" applyProtection="1">
      <alignment horizontal="center" vertical="top"/>
    </xf>
    <xf numFmtId="168" fontId="37" fillId="6" borderId="0" xfId="0" applyNumberFormat="1" applyFont="1" applyFill="1" applyBorder="1" applyAlignment="1" applyProtection="1">
      <alignment horizontal="center" vertical="top"/>
    </xf>
    <xf numFmtId="168" fontId="33" fillId="6" borderId="54" xfId="0" applyNumberFormat="1" applyFont="1" applyFill="1" applyBorder="1" applyAlignment="1" applyProtection="1">
      <alignment horizontal="center" vertical="top"/>
    </xf>
    <xf numFmtId="168" fontId="37" fillId="6" borderId="54" xfId="0" applyNumberFormat="1" applyFont="1" applyFill="1" applyBorder="1" applyAlignment="1" applyProtection="1">
      <alignment horizontal="center" vertical="top"/>
    </xf>
    <xf numFmtId="170" fontId="33" fillId="7" borderId="54" xfId="5" applyNumberFormat="1" applyFont="1" applyFill="1" applyBorder="1" applyAlignment="1" applyProtection="1">
      <alignment horizontal="center" vertical="top"/>
    </xf>
    <xf numFmtId="170" fontId="33" fillId="7" borderId="54" xfId="3" applyNumberFormat="1" applyFont="1" applyFill="1" applyBorder="1" applyAlignment="1" applyProtection="1">
      <alignment horizontal="center" vertical="top"/>
    </xf>
    <xf numFmtId="170" fontId="37" fillId="7" borderId="54" xfId="5" applyNumberFormat="1" applyFont="1" applyFill="1" applyBorder="1" applyAlignment="1" applyProtection="1">
      <alignment horizontal="center" vertical="top"/>
    </xf>
    <xf numFmtId="0" fontId="0" fillId="0" borderId="0" xfId="0" applyAlignment="1">
      <alignment wrapText="1"/>
    </xf>
    <xf numFmtId="0" fontId="130" fillId="6" borderId="0" xfId="0" applyFont="1" applyFill="1"/>
    <xf numFmtId="0" fontId="134" fillId="6" borderId="0" xfId="0" applyFont="1" applyFill="1" applyBorder="1" applyAlignment="1">
      <alignment vertical="top"/>
    </xf>
    <xf numFmtId="0" fontId="135" fillId="0" borderId="0" xfId="0" applyFont="1" applyAlignment="1">
      <alignment vertical="center" wrapText="1"/>
    </xf>
    <xf numFmtId="14" fontId="135" fillId="0" borderId="0" xfId="0" applyNumberFormat="1" applyFont="1" applyFill="1" applyAlignment="1" applyProtection="1">
      <alignment horizontal="left"/>
    </xf>
    <xf numFmtId="14" fontId="135" fillId="0" borderId="0" xfId="0" applyNumberFormat="1" applyFont="1" applyAlignment="1" applyProtection="1">
      <alignment horizontal="left"/>
    </xf>
    <xf numFmtId="0" fontId="137" fillId="0" borderId="0" xfId="0" applyFont="1" applyAlignment="1">
      <alignment horizontal="left" vertical="top" wrapText="1"/>
    </xf>
    <xf numFmtId="0" fontId="136" fillId="0" borderId="0" xfId="0" applyFont="1" applyFill="1"/>
    <xf numFmtId="0" fontId="131" fillId="0" borderId="0" xfId="0" applyFont="1" applyAlignment="1">
      <alignment horizontal="left" vertical="top" wrapText="1"/>
    </xf>
    <xf numFmtId="0" fontId="17" fillId="0" borderId="0" xfId="0" applyFont="1" applyFill="1" applyAlignment="1">
      <alignment horizontal="left"/>
    </xf>
    <xf numFmtId="177" fontId="21" fillId="0" borderId="0" xfId="5" applyNumberFormat="1" applyFont="1" applyFill="1" applyAlignment="1">
      <alignment horizontal="left"/>
    </xf>
    <xf numFmtId="9" fontId="48" fillId="6" borderId="0" xfId="2" applyFont="1" applyFill="1" applyBorder="1" applyAlignment="1" applyProtection="1">
      <alignment horizontal="right" vertical="top"/>
      <protection locked="0"/>
    </xf>
    <xf numFmtId="9" fontId="6" fillId="7" borderId="30" xfId="2" applyFont="1" applyFill="1" applyBorder="1" applyAlignment="1" applyProtection="1">
      <alignment horizontal="right" vertical="top"/>
    </xf>
    <xf numFmtId="0" fontId="34" fillId="4" borderId="58" xfId="0" applyFont="1" applyFill="1" applyBorder="1" applyAlignment="1" applyProtection="1">
      <alignment vertical="top"/>
    </xf>
    <xf numFmtId="0" fontId="72" fillId="6" borderId="0" xfId="0" applyFont="1" applyFill="1" applyBorder="1" applyAlignment="1" applyProtection="1">
      <alignment vertical="top"/>
    </xf>
    <xf numFmtId="0" fontId="138" fillId="6" borderId="0" xfId="0" applyFont="1" applyFill="1" applyAlignment="1"/>
    <xf numFmtId="183" fontId="6" fillId="7" borderId="47" xfId="0" applyNumberFormat="1" applyFont="1" applyFill="1" applyBorder="1" applyAlignment="1" applyProtection="1">
      <alignment horizontal="right" vertical="top"/>
    </xf>
    <xf numFmtId="171" fontId="6" fillId="7" borderId="47" xfId="5" applyNumberFormat="1" applyFont="1" applyFill="1" applyBorder="1" applyAlignment="1" applyProtection="1">
      <alignment horizontal="right" vertical="top"/>
    </xf>
    <xf numFmtId="0" fontId="125" fillId="0" borderId="0" xfId="1" applyFont="1" applyAlignment="1" applyProtection="1"/>
    <xf numFmtId="0" fontId="128" fillId="6" borderId="0" xfId="1" applyFont="1" applyFill="1" applyBorder="1" applyAlignment="1" applyProtection="1"/>
    <xf numFmtId="0" fontId="77" fillId="6" borderId="0" xfId="0" applyFont="1" applyFill="1" applyAlignment="1"/>
    <xf numFmtId="0" fontId="133" fillId="6" borderId="0" xfId="1" applyFont="1" applyFill="1" applyBorder="1" applyAlignment="1" applyProtection="1">
      <protection locked="0"/>
    </xf>
    <xf numFmtId="0" fontId="133" fillId="6" borderId="0" xfId="1" applyFont="1" applyFill="1" applyAlignment="1" applyProtection="1"/>
    <xf numFmtId="0" fontId="89" fillId="7" borderId="0" xfId="0" quotePrefix="1" applyFont="1" applyFill="1" applyBorder="1" applyAlignment="1">
      <alignment vertical="top" wrapText="1"/>
    </xf>
    <xf numFmtId="0" fontId="89" fillId="7" borderId="0" xfId="0" applyFont="1" applyFill="1" applyBorder="1" applyAlignment="1">
      <alignment vertical="top" wrapText="1"/>
    </xf>
    <xf numFmtId="0" fontId="91" fillId="7" borderId="0" xfId="0" applyFont="1" applyFill="1" applyBorder="1" applyAlignment="1"/>
    <xf numFmtId="0" fontId="89" fillId="7" borderId="0" xfId="0" applyFont="1" applyFill="1" applyBorder="1" applyAlignment="1">
      <alignment wrapText="1"/>
    </xf>
    <xf numFmtId="0" fontId="89" fillId="7" borderId="0" xfId="0" applyFont="1" applyFill="1" applyBorder="1" applyAlignment="1"/>
    <xf numFmtId="0" fontId="35" fillId="4" borderId="0" xfId="0" applyFont="1" applyFill="1" applyAlignment="1"/>
    <xf numFmtId="0" fontId="6" fillId="7" borderId="0" xfId="0" applyFont="1" applyFill="1" applyBorder="1" applyAlignment="1">
      <alignment wrapText="1"/>
    </xf>
    <xf numFmtId="0" fontId="6" fillId="7" borderId="0" xfId="0" applyFont="1" applyFill="1" applyBorder="1" applyAlignment="1"/>
    <xf numFmtId="0" fontId="0" fillId="7" borderId="0" xfId="0" applyFill="1" applyBorder="1" applyAlignment="1"/>
    <xf numFmtId="0" fontId="6" fillId="6" borderId="0" xfId="0" applyFont="1" applyFill="1" applyBorder="1" applyAlignment="1">
      <alignment wrapText="1"/>
    </xf>
    <xf numFmtId="0" fontId="0" fillId="0" borderId="0" xfId="0" applyAlignment="1">
      <alignment wrapText="1"/>
    </xf>
    <xf numFmtId="0" fontId="88" fillId="4" borderId="0" xfId="0" applyFont="1" applyFill="1" applyAlignment="1"/>
    <xf numFmtId="0" fontId="0" fillId="7" borderId="0" xfId="0" applyFill="1" applyBorder="1" applyAlignment="1">
      <alignment wrapText="1"/>
    </xf>
    <xf numFmtId="0" fontId="126" fillId="7" borderId="0" xfId="1" applyFont="1" applyFill="1" applyBorder="1" applyAlignment="1" applyProtection="1"/>
    <xf numFmtId="0" fontId="127" fillId="0" borderId="0" xfId="0" applyFont="1" applyAlignment="1"/>
    <xf numFmtId="0" fontId="37" fillId="7" borderId="0" xfId="0" applyFont="1" applyFill="1" applyBorder="1" applyAlignment="1">
      <alignment horizontal="center"/>
    </xf>
    <xf numFmtId="0" fontId="33" fillId="0" borderId="0" xfId="0" applyFont="1" applyAlignment="1">
      <alignment horizontal="center"/>
    </xf>
    <xf numFmtId="0" fontId="48" fillId="4" borderId="26" xfId="0" applyFont="1" applyFill="1" applyBorder="1" applyAlignment="1" applyProtection="1">
      <alignment horizontal="left" vertical="top"/>
      <protection locked="0"/>
    </xf>
    <xf numFmtId="0" fontId="33" fillId="0" borderId="27" xfId="0" applyFont="1" applyBorder="1" applyAlignment="1">
      <alignment vertical="top"/>
    </xf>
    <xf numFmtId="0" fontId="2" fillId="8" borderId="0" xfId="0" applyFont="1" applyFill="1" applyBorder="1" applyAlignment="1">
      <alignment wrapText="1"/>
    </xf>
    <xf numFmtId="0" fontId="94" fillId="8" borderId="0" xfId="0" applyFont="1" applyFill="1" applyBorder="1" applyAlignment="1">
      <alignment wrapText="1"/>
    </xf>
    <xf numFmtId="168" fontId="6" fillId="7" borderId="26" xfId="0" applyNumberFormat="1" applyFont="1" applyFill="1" applyBorder="1" applyAlignment="1" applyProtection="1">
      <alignment horizontal="left" vertical="top"/>
    </xf>
    <xf numFmtId="0" fontId="0" fillId="7" borderId="27" xfId="0" applyFill="1" applyBorder="1" applyAlignment="1">
      <alignment horizontal="left" vertical="top"/>
    </xf>
    <xf numFmtId="0" fontId="104" fillId="8" borderId="0" xfId="0" applyFont="1" applyFill="1" applyBorder="1" applyAlignment="1">
      <alignment wrapText="1"/>
    </xf>
    <xf numFmtId="0" fontId="0" fillId="0" borderId="27" xfId="0" applyBorder="1" applyAlignment="1" applyProtection="1">
      <protection locked="0"/>
    </xf>
    <xf numFmtId="0" fontId="2" fillId="8" borderId="0" xfId="0" applyFont="1" applyFill="1" applyBorder="1" applyAlignment="1">
      <alignment vertical="top" wrapText="1"/>
    </xf>
    <xf numFmtId="0" fontId="109" fillId="8" borderId="0" xfId="0" applyFont="1" applyFill="1" applyBorder="1" applyAlignment="1" applyProtection="1">
      <alignment vertical="top" wrapText="1"/>
    </xf>
    <xf numFmtId="0" fontId="110" fillId="8" borderId="0" xfId="0" applyFont="1" applyFill="1" applyAlignment="1">
      <alignment vertical="top" wrapText="1"/>
    </xf>
    <xf numFmtId="0" fontId="83" fillId="4" borderId="48" xfId="0" applyFont="1" applyFill="1" applyBorder="1" applyAlignment="1" applyProtection="1">
      <alignment horizontal="center" vertical="center"/>
    </xf>
    <xf numFmtId="0" fontId="77" fillId="4" borderId="48" xfId="0" applyFont="1" applyFill="1" applyBorder="1" applyAlignment="1">
      <alignment horizontal="center" vertical="center"/>
    </xf>
    <xf numFmtId="0" fontId="40" fillId="7" borderId="47" xfId="0" applyFont="1" applyFill="1" applyBorder="1" applyAlignment="1" applyProtection="1">
      <alignment horizontal="left" vertical="top"/>
      <protection locked="0"/>
    </xf>
    <xf numFmtId="0" fontId="0" fillId="7" borderId="47" xfId="0" applyFill="1" applyBorder="1" applyAlignment="1">
      <alignment vertical="top"/>
    </xf>
    <xf numFmtId="0" fontId="76" fillId="2" borderId="0" xfId="0" applyFont="1" applyFill="1" applyBorder="1" applyAlignment="1" applyProtection="1">
      <alignment horizontal="left" vertical="top" wrapText="1"/>
    </xf>
    <xf numFmtId="0" fontId="77" fillId="0" borderId="0" xfId="0" applyFont="1" applyAlignment="1">
      <alignment vertical="top"/>
    </xf>
    <xf numFmtId="0" fontId="40" fillId="7" borderId="47" xfId="0" applyNumberFormat="1" applyFont="1" applyFill="1" applyBorder="1" applyAlignment="1" applyProtection="1">
      <alignment horizontal="left" vertical="top"/>
      <protection locked="0"/>
    </xf>
    <xf numFmtId="0" fontId="0" fillId="7" borderId="47" xfId="0" applyNumberFormat="1" applyFill="1" applyBorder="1" applyAlignment="1">
      <alignment vertical="top"/>
    </xf>
    <xf numFmtId="0" fontId="6" fillId="7" borderId="10" xfId="0" applyFont="1" applyFill="1" applyBorder="1" applyAlignment="1" applyProtection="1">
      <alignment horizontal="center" vertical="top"/>
    </xf>
    <xf numFmtId="0" fontId="0" fillId="7" borderId="10" xfId="0" applyFill="1" applyBorder="1" applyAlignment="1">
      <alignment horizontal="center" vertical="top"/>
    </xf>
    <xf numFmtId="0" fontId="6" fillId="7" borderId="50" xfId="0" applyFont="1" applyFill="1" applyBorder="1" applyAlignment="1" applyProtection="1">
      <alignment horizontal="center" vertical="top"/>
    </xf>
    <xf numFmtId="0" fontId="0" fillId="7" borderId="51" xfId="0" applyFill="1" applyBorder="1" applyAlignment="1">
      <alignment horizontal="center" vertical="top"/>
    </xf>
    <xf numFmtId="0" fontId="83" fillId="4" borderId="47" xfId="0" applyFont="1" applyFill="1" applyBorder="1" applyAlignment="1" applyProtection="1">
      <alignment horizontal="center" vertical="top"/>
    </xf>
    <xf numFmtId="0" fontId="87" fillId="4" borderId="47" xfId="0" applyFont="1" applyFill="1" applyBorder="1" applyAlignment="1">
      <alignment horizontal="center" vertical="top"/>
    </xf>
    <xf numFmtId="171" fontId="83" fillId="4" borderId="47" xfId="0" applyNumberFormat="1" applyFont="1" applyFill="1" applyBorder="1" applyAlignment="1" applyProtection="1">
      <alignment horizontal="center" vertical="top"/>
    </xf>
    <xf numFmtId="171" fontId="87" fillId="4" borderId="47" xfId="0" applyNumberFormat="1" applyFont="1" applyFill="1" applyBorder="1" applyAlignment="1">
      <alignment horizontal="center" vertical="top"/>
    </xf>
    <xf numFmtId="0" fontId="48" fillId="7" borderId="52" xfId="0" applyFont="1" applyFill="1" applyBorder="1" applyAlignment="1" applyProtection="1">
      <alignment horizontal="left" vertical="top"/>
      <protection locked="0"/>
    </xf>
    <xf numFmtId="0" fontId="11" fillId="7" borderId="53" xfId="0" applyFont="1" applyFill="1" applyBorder="1" applyAlignment="1">
      <alignment vertical="top"/>
    </xf>
    <xf numFmtId="174" fontId="48" fillId="7" borderId="52" xfId="0" applyNumberFormat="1" applyFont="1" applyFill="1" applyBorder="1" applyAlignment="1" applyProtection="1">
      <alignment horizontal="left" vertical="top"/>
      <protection locked="0"/>
    </xf>
    <xf numFmtId="174" fontId="11" fillId="7" borderId="53" xfId="0" applyNumberFormat="1" applyFont="1" applyFill="1" applyBorder="1" applyAlignment="1">
      <alignment vertical="top"/>
    </xf>
    <xf numFmtId="0" fontId="120" fillId="4" borderId="0" xfId="0" applyFont="1" applyFill="1" applyBorder="1" applyAlignment="1">
      <alignment wrapText="1"/>
    </xf>
    <xf numFmtId="0" fontId="92" fillId="6" borderId="0" xfId="0" applyFont="1" applyFill="1" applyAlignment="1">
      <alignment wrapText="1"/>
    </xf>
    <xf numFmtId="0" fontId="30" fillId="0" borderId="0" xfId="0" applyFont="1" applyFill="1" applyAlignment="1" applyProtection="1">
      <alignment horizontal="left" wrapText="1"/>
    </xf>
    <xf numFmtId="0" fontId="131" fillId="0" borderId="0" xfId="0" applyFont="1" applyAlignment="1">
      <alignment wrapText="1"/>
    </xf>
    <xf numFmtId="0" fontId="21" fillId="0" borderId="0" xfId="0" applyFont="1" applyAlignment="1">
      <alignment horizontal="left" vertical="top" wrapText="1"/>
    </xf>
    <xf numFmtId="180" fontId="17" fillId="0" borderId="0" xfId="0" applyNumberFormat="1" applyFont="1" applyAlignment="1" applyProtection="1">
      <alignment horizontal="left"/>
    </xf>
    <xf numFmtId="0" fontId="139" fillId="4" borderId="0" xfId="0" applyFont="1" applyFill="1" applyBorder="1" applyAlignment="1" applyProtection="1">
      <alignment vertical="top"/>
    </xf>
    <xf numFmtId="0" fontId="0" fillId="0" borderId="0" xfId="0" applyAlignment="1">
      <alignment horizontal="left"/>
    </xf>
    <xf numFmtId="173" fontId="0" fillId="0" borderId="0" xfId="0" applyNumberFormat="1"/>
    <xf numFmtId="173" fontId="11" fillId="0" borderId="0" xfId="0" applyNumberFormat="1" applyFont="1"/>
    <xf numFmtId="173" fontId="17" fillId="0" borderId="0" xfId="0" applyNumberFormat="1" applyFont="1"/>
    <xf numFmtId="0" fontId="140" fillId="4" borderId="0" xfId="0" applyFont="1" applyFill="1" applyBorder="1" applyAlignment="1" applyProtection="1">
      <alignment vertical="top"/>
    </xf>
    <xf numFmtId="0" fontId="141" fillId="4" borderId="0" xfId="0" applyFont="1" applyFill="1" applyBorder="1" applyAlignment="1" applyProtection="1">
      <alignment vertical="top"/>
    </xf>
    <xf numFmtId="0" fontId="141" fillId="4" borderId="0" xfId="0" applyFont="1" applyFill="1" applyBorder="1" applyAlignment="1" applyProtection="1">
      <alignment horizontal="center" vertical="top"/>
    </xf>
    <xf numFmtId="182" fontId="45" fillId="4" borderId="0" xfId="2" applyNumberFormat="1" applyFont="1" applyFill="1" applyAlignment="1">
      <alignment horizontal="center" vertical="top"/>
    </xf>
    <xf numFmtId="0" fontId="45" fillId="4" borderId="0" xfId="0" applyFont="1" applyFill="1" applyAlignment="1">
      <alignment horizontal="center" vertical="top"/>
    </xf>
    <xf numFmtId="0" fontId="142" fillId="4" borderId="0" xfId="0" applyFont="1" applyFill="1" applyBorder="1" applyAlignment="1" applyProtection="1">
      <alignment vertical="top"/>
    </xf>
    <xf numFmtId="0" fontId="143" fillId="4" borderId="0" xfId="0" applyFont="1" applyFill="1" applyBorder="1" applyAlignment="1" applyProtection="1">
      <alignment horizontal="center" vertical="top"/>
    </xf>
    <xf numFmtId="0" fontId="143" fillId="4" borderId="0" xfId="0" applyFont="1" applyFill="1" applyBorder="1" applyAlignment="1" applyProtection="1">
      <alignment vertical="top"/>
    </xf>
    <xf numFmtId="0" fontId="141" fillId="6" borderId="0" xfId="0" applyFont="1" applyFill="1" applyBorder="1" applyAlignment="1" applyProtection="1">
      <alignment horizontal="center" vertical="top"/>
    </xf>
    <xf numFmtId="0" fontId="141" fillId="6" borderId="0" xfId="0" applyFont="1" applyFill="1" applyBorder="1" applyAlignment="1" applyProtection="1">
      <alignment vertical="top"/>
    </xf>
    <xf numFmtId="0" fontId="141" fillId="6" borderId="0" xfId="0" applyFont="1" applyFill="1" applyBorder="1" applyAlignment="1" applyProtection="1">
      <alignment horizontal="left" vertical="top"/>
    </xf>
    <xf numFmtId="9" fontId="141" fillId="6" borderId="0" xfId="0" applyNumberFormat="1" applyFont="1" applyFill="1" applyBorder="1" applyAlignment="1" applyProtection="1">
      <alignment vertical="top"/>
    </xf>
    <xf numFmtId="10" fontId="141" fillId="6" borderId="0" xfId="0" applyNumberFormat="1" applyFont="1" applyFill="1" applyBorder="1" applyAlignment="1" applyProtection="1">
      <alignment vertical="top"/>
    </xf>
    <xf numFmtId="0" fontId="144" fillId="6" borderId="0" xfId="0" applyFont="1" applyFill="1" applyBorder="1" applyAlignment="1" applyProtection="1">
      <alignment horizontal="center" vertical="top"/>
    </xf>
    <xf numFmtId="0" fontId="145" fillId="6" borderId="0" xfId="0" applyFont="1" applyFill="1" applyBorder="1" applyAlignment="1" applyProtection="1">
      <alignment vertical="top"/>
    </xf>
    <xf numFmtId="1" fontId="141" fillId="6" borderId="0" xfId="0" applyNumberFormat="1" applyFont="1" applyFill="1" applyBorder="1" applyAlignment="1" applyProtection="1">
      <alignment vertical="top"/>
    </xf>
    <xf numFmtId="0" fontId="146" fillId="6" borderId="0" xfId="0" applyFont="1" applyFill="1" applyBorder="1" applyAlignment="1" applyProtection="1">
      <alignment horizontal="center" vertical="top"/>
    </xf>
    <xf numFmtId="0" fontId="146" fillId="6" borderId="0" xfId="0" applyFont="1" applyFill="1" applyBorder="1" applyAlignment="1" applyProtection="1">
      <alignment vertical="top"/>
    </xf>
    <xf numFmtId="0" fontId="147" fillId="6" borderId="0" xfId="0" applyFont="1" applyFill="1"/>
    <xf numFmtId="0" fontId="141" fillId="6" borderId="0" xfId="0" applyNumberFormat="1" applyFont="1" applyFill="1" applyBorder="1" applyAlignment="1" applyProtection="1">
      <alignment vertical="top"/>
    </xf>
    <xf numFmtId="0" fontId="144" fillId="6" borderId="0" xfId="0" applyFont="1" applyFill="1" applyBorder="1" applyAlignment="1" applyProtection="1">
      <alignment vertical="top"/>
    </xf>
    <xf numFmtId="0" fontId="141" fillId="2" borderId="0" xfId="0" applyFont="1" applyFill="1" applyBorder="1" applyAlignment="1" applyProtection="1">
      <alignment vertical="top"/>
    </xf>
    <xf numFmtId="0" fontId="140" fillId="6" borderId="0" xfId="0" applyFont="1" applyFill="1" applyBorder="1" applyAlignment="1" applyProtection="1">
      <alignment vertical="top"/>
    </xf>
    <xf numFmtId="0" fontId="145" fillId="6" borderId="0" xfId="0" applyFont="1" applyFill="1" applyBorder="1" applyAlignment="1" applyProtection="1">
      <alignment horizontal="center" vertical="top"/>
    </xf>
    <xf numFmtId="0" fontId="141" fillId="0" borderId="0" xfId="0" applyFont="1" applyFill="1" applyBorder="1" applyAlignment="1" applyProtection="1">
      <alignment horizontal="center" vertical="top"/>
    </xf>
    <xf numFmtId="0" fontId="141" fillId="0" borderId="0" xfId="0" applyFont="1" applyFill="1" applyBorder="1" applyAlignment="1" applyProtection="1">
      <alignment vertical="top"/>
    </xf>
    <xf numFmtId="0" fontId="4" fillId="7" borderId="0" xfId="1" applyFill="1" applyAlignment="1" applyProtection="1"/>
  </cellXfs>
  <cellStyles count="6">
    <cellStyle name="Hyperlink" xfId="1" builtinId="8"/>
    <cellStyle name="Komma" xfId="5" builtinId="3"/>
    <cellStyle name="Procent" xfId="2" builtinId="5"/>
    <cellStyle name="Standaard" xfId="0" builtinId="0"/>
    <cellStyle name="Standaard 2" xfId="4"/>
    <cellStyle name="Valuta" xfId="3" builtinId="4"/>
  </cellStyles>
  <dxfs count="0"/>
  <tableStyles count="0" defaultTableStyle="TableStyleMedium9" defaultPivotStyle="PivotStyleLight16"/>
  <colors>
    <mruColors>
      <color rgb="FF99CCFF"/>
      <color rgb="FFFFFF99"/>
      <color rgb="FF1B84BE"/>
      <color rgb="FFF5F7FA"/>
      <color rgb="FFFC4861"/>
      <color rgb="FF7B8794"/>
      <color rgb="FFEAB700"/>
      <color rgb="FF323F4B"/>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www.arbeidsmarktplatformpo.nl/" TargetMode="External"/><Relationship Id="rId4" Type="http://schemas.openxmlformats.org/officeDocument/2006/relationships/hyperlink" Target="#Stap_1__GEGEVENS_WERKNEMER"/></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2.png"/><Relationship Id="rId1" Type="http://schemas.openxmlformats.org/officeDocument/2006/relationships/hyperlink" Target="http://www.arbeidsmarktplatformpo.nl/" TargetMode="External"/></Relationships>
</file>

<file path=xl/drawings/_rels/drawing3.xml.rels><?xml version="1.0" encoding="UTF-8" standalone="yes"?>
<Relationships xmlns="http://schemas.openxmlformats.org/package/2006/relationships"><Relationship Id="rId2" Type="http://schemas.openxmlformats.org/officeDocument/2006/relationships/hyperlink" Target="#Loonkosten!A1"/><Relationship Id="rId1" Type="http://schemas.openxmlformats.org/officeDocument/2006/relationships/hyperlink" Target="#Startpagina!A1"/></Relationships>
</file>

<file path=xl/drawings/_rels/drawing4.xml.rels><?xml version="1.0" encoding="UTF-8" standalone="yes"?>
<Relationships xmlns="http://schemas.openxmlformats.org/package/2006/relationships"><Relationship Id="rId3" Type="http://schemas.openxmlformats.org/officeDocument/2006/relationships/hyperlink" Target="#Inkomensgevolgen!A1"/><Relationship Id="rId2" Type="http://schemas.openxmlformats.org/officeDocument/2006/relationships/hyperlink" Target="#Startpagina!A1"/><Relationship Id="rId1" Type="http://schemas.openxmlformats.org/officeDocument/2006/relationships/hyperlink" Target="#Stap_1__GEGEVENS_WERKNEMER"/></Relationships>
</file>

<file path=xl/drawings/_rels/drawing5.xml.rels><?xml version="1.0" encoding="UTF-8" standalone="yes"?>
<Relationships xmlns="http://schemas.openxmlformats.org/package/2006/relationships"><Relationship Id="rId2" Type="http://schemas.openxmlformats.org/officeDocument/2006/relationships/hyperlink" Target="#Startpagina!A1"/><Relationship Id="rId1" Type="http://schemas.openxmlformats.org/officeDocument/2006/relationships/hyperlink" Target="#Loonkosten!A1"/></Relationships>
</file>

<file path=xl/drawings/_rels/drawing6.xml.rels><?xml version="1.0" encoding="UTF-8" standalone="yes"?>
<Relationships xmlns="http://schemas.openxmlformats.org/package/2006/relationships"><Relationship Id="rId2" Type="http://schemas.openxmlformats.org/officeDocument/2006/relationships/hyperlink" Target="#Startpagina!A1"/><Relationship Id="rId1" Type="http://schemas.openxmlformats.org/officeDocument/2006/relationships/hyperlink" Target="#WERKGEVERSLASTEN_PO_2021"/></Relationships>
</file>

<file path=xl/drawings/drawing1.xml><?xml version="1.0" encoding="utf-8"?>
<xdr:wsDr xmlns:xdr="http://schemas.openxmlformats.org/drawingml/2006/spreadsheetDrawing" xmlns:a="http://schemas.openxmlformats.org/drawingml/2006/main">
  <xdr:twoCellAnchor editAs="oneCell">
    <xdr:from>
      <xdr:col>25</xdr:col>
      <xdr:colOff>100012</xdr:colOff>
      <xdr:row>0</xdr:row>
      <xdr:rowOff>0</xdr:rowOff>
    </xdr:from>
    <xdr:to>
      <xdr:col>30</xdr:col>
      <xdr:colOff>112313</xdr:colOff>
      <xdr:row>6</xdr:row>
      <xdr:rowOff>59850</xdr:rowOff>
    </xdr:to>
    <xdr:pic>
      <xdr:nvPicPr>
        <xdr:cNvPr id="9" name="x_Afbeelding 1">
          <a:hlinkClick xmlns:r="http://schemas.openxmlformats.org/officeDocument/2006/relationships" r:id="rId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rcRect/>
        <a:stretch/>
      </xdr:blipFill>
      <xdr:spPr bwMode="auto">
        <a:xfrm>
          <a:off x="11158537" y="0"/>
          <a:ext cx="2460226" cy="1260000"/>
        </a:xfrm>
        <a:prstGeom prst="rect">
          <a:avLst/>
        </a:prstGeom>
        <a:noFill/>
        <a:ln>
          <a:noFill/>
        </a:ln>
      </xdr:spPr>
    </xdr:pic>
    <xdr:clientData/>
  </xdr:twoCellAnchor>
  <xdr:twoCellAnchor>
    <xdr:from>
      <xdr:col>16</xdr:col>
      <xdr:colOff>157163</xdr:colOff>
      <xdr:row>0</xdr:row>
      <xdr:rowOff>180975</xdr:rowOff>
    </xdr:from>
    <xdr:to>
      <xdr:col>22</xdr:col>
      <xdr:colOff>271125</xdr:colOff>
      <xdr:row>5</xdr:row>
      <xdr:rowOff>71325</xdr:rowOff>
    </xdr:to>
    <xdr:sp macro="[0]!Terug_naar_start" textlink="">
      <xdr:nvSpPr>
        <xdr:cNvPr id="5" name="Pijl-links 4">
          <a:hlinkClick xmlns:r="http://schemas.openxmlformats.org/officeDocument/2006/relationships" r:id="rId4"/>
          <a:extLst>
            <a:ext uri="{FF2B5EF4-FFF2-40B4-BE49-F238E27FC236}">
              <a16:creationId xmlns:a16="http://schemas.microsoft.com/office/drawing/2014/main" id="{00000000-0008-0000-0000-000005000000}"/>
            </a:ext>
          </a:extLst>
        </xdr:cNvPr>
        <xdr:cNvSpPr/>
      </xdr:nvSpPr>
      <xdr:spPr bwMode="auto">
        <a:xfrm flipH="1">
          <a:off x="6672263" y="180975"/>
          <a:ext cx="2700000" cy="900000"/>
        </a:xfrm>
        <a:prstGeom prst="leftArrow">
          <a:avLst/>
        </a:prstGeom>
        <a:solidFill>
          <a:srgbClr val="FC4861"/>
        </a:solidFill>
        <a:ln>
          <a:solidFill>
            <a:srgbClr val="FC4861"/>
          </a:solidFill>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baseline="0"/>
            <a:t>N</a:t>
          </a:r>
          <a:r>
            <a:rPr lang="nl-NL" sz="1400"/>
            <a:t>aar</a:t>
          </a:r>
          <a:r>
            <a:rPr lang="nl-NL" sz="1400" baseline="0"/>
            <a:t> </a:t>
          </a:r>
          <a:r>
            <a:rPr lang="nl-NL" sz="1400" i="1"/>
            <a:t>Invoer Gegevens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240003</xdr:colOff>
      <xdr:row>0</xdr:row>
      <xdr:rowOff>0</xdr:rowOff>
    </xdr:from>
    <xdr:to>
      <xdr:col>13</xdr:col>
      <xdr:colOff>2504553</xdr:colOff>
      <xdr:row>5</xdr:row>
      <xdr:rowOff>117000</xdr:rowOff>
    </xdr:to>
    <xdr:pic>
      <xdr:nvPicPr>
        <xdr:cNvPr id="5" name="x_Afbeelding 1">
          <a:hlinkClick xmlns:r="http://schemas.openxmlformats.org/officeDocument/2006/relationships" r:id="rId1"/>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rcRect/>
        <a:stretch/>
      </xdr:blipFill>
      <xdr:spPr bwMode="auto">
        <a:xfrm>
          <a:off x="8912516" y="0"/>
          <a:ext cx="2436000" cy="1260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136876</xdr:colOff>
      <xdr:row>0</xdr:row>
      <xdr:rowOff>67778</xdr:rowOff>
    </xdr:from>
    <xdr:to>
      <xdr:col>4</xdr:col>
      <xdr:colOff>365139</xdr:colOff>
      <xdr:row>5</xdr:row>
      <xdr:rowOff>62903</xdr:rowOff>
    </xdr:to>
    <xdr:sp macro="[0]!Terug_naar_start" textlink="">
      <xdr:nvSpPr>
        <xdr:cNvPr id="4" name="Pijl-links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bwMode="auto">
        <a:xfrm>
          <a:off x="370239" y="67778"/>
          <a:ext cx="2700000" cy="900000"/>
        </a:xfrm>
        <a:prstGeom prst="leftArrow">
          <a:avLst/>
        </a:prstGeom>
        <a:solidFill>
          <a:srgbClr val="FC4861"/>
        </a:solidFill>
        <a:ln>
          <a:noFill/>
          <a:headEnd type="none" w="med" len="med"/>
          <a:tailEnd type="none" w="med" len="med"/>
        </a:ln>
        <a:scene3d>
          <a:camera prst="orthographicFront">
            <a:rot lat="0" lon="0" rev="0"/>
          </a:camera>
          <a:lightRig rig="threePt" dir="t">
            <a:rot lat="0" lon="0" rev="1200000"/>
          </a:lightRig>
        </a:scene3d>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a:t>Terug</a:t>
          </a:r>
          <a:r>
            <a:rPr lang="nl-NL" sz="1400" baseline="0"/>
            <a:t> </a:t>
          </a:r>
          <a:r>
            <a:rPr lang="nl-NL" sz="1400"/>
            <a:t>naar</a:t>
          </a:r>
          <a:r>
            <a:rPr lang="nl-NL" sz="1400" baseline="0"/>
            <a:t> </a:t>
          </a:r>
          <a:r>
            <a:rPr lang="nl-NL" sz="1400" i="1"/>
            <a:t>Startpagina</a:t>
          </a:r>
        </a:p>
      </xdr:txBody>
    </xdr:sp>
    <xdr:clientData/>
  </xdr:twoCellAnchor>
  <xdr:twoCellAnchor>
    <xdr:from>
      <xdr:col>17</xdr:col>
      <xdr:colOff>4295</xdr:colOff>
      <xdr:row>0</xdr:row>
      <xdr:rowOff>67778</xdr:rowOff>
    </xdr:from>
    <xdr:to>
      <xdr:col>19</xdr:col>
      <xdr:colOff>2337582</xdr:colOff>
      <xdr:row>5</xdr:row>
      <xdr:rowOff>62903</xdr:rowOff>
    </xdr:to>
    <xdr:sp macro="[0]!Terug_naar_start" textlink="">
      <xdr:nvSpPr>
        <xdr:cNvPr id="8" name="Pijl-links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bwMode="auto">
        <a:xfrm flipH="1">
          <a:off x="9824570" y="67778"/>
          <a:ext cx="2700000" cy="900000"/>
        </a:xfrm>
        <a:prstGeom prst="leftArrow">
          <a:avLst/>
        </a:prstGeom>
        <a:solidFill>
          <a:srgbClr val="FC4861"/>
        </a:solidFill>
        <a:ln>
          <a:noFill/>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a:t>Naar</a:t>
          </a:r>
          <a:r>
            <a:rPr lang="nl-NL" sz="1400" baseline="0"/>
            <a:t> </a:t>
          </a:r>
          <a:r>
            <a:rPr lang="nl-NL" sz="1400" i="1"/>
            <a:t>Loonkosten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3257549</xdr:colOff>
      <xdr:row>0</xdr:row>
      <xdr:rowOff>152400</xdr:rowOff>
    </xdr:from>
    <xdr:to>
      <xdr:col>6</xdr:col>
      <xdr:colOff>199687</xdr:colOff>
      <xdr:row>4</xdr:row>
      <xdr:rowOff>138000</xdr:rowOff>
    </xdr:to>
    <xdr:sp macro="[0]!Terug_naar_start" textlink="">
      <xdr:nvSpPr>
        <xdr:cNvPr id="2" name="Pijl-links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bwMode="auto">
        <a:xfrm>
          <a:off x="3557587" y="152400"/>
          <a:ext cx="2700000" cy="900000"/>
        </a:xfrm>
        <a:prstGeom prst="leftArrow">
          <a:avLst/>
        </a:prstGeom>
        <a:solidFill>
          <a:srgbClr val="FC4861"/>
        </a:solidFill>
        <a:ln>
          <a:solidFill>
            <a:srgbClr val="FC4861"/>
          </a:solidFill>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a:t>Terug</a:t>
          </a:r>
          <a:r>
            <a:rPr lang="nl-NL" sz="1400" baseline="0"/>
            <a:t> </a:t>
          </a:r>
          <a:r>
            <a:rPr lang="nl-NL" sz="1400"/>
            <a:t>naar</a:t>
          </a:r>
          <a:r>
            <a:rPr lang="nl-NL" sz="1400" baseline="0"/>
            <a:t> </a:t>
          </a:r>
          <a:r>
            <a:rPr lang="nl-NL" sz="1400" i="1"/>
            <a:t>Invoer gegevens</a:t>
          </a:r>
        </a:p>
      </xdr:txBody>
    </xdr:sp>
    <xdr:clientData/>
  </xdr:twoCellAnchor>
  <xdr:twoCellAnchor>
    <xdr:from>
      <xdr:col>2</xdr:col>
      <xdr:colOff>28575</xdr:colOff>
      <xdr:row>0</xdr:row>
      <xdr:rowOff>152400</xdr:rowOff>
    </xdr:from>
    <xdr:to>
      <xdr:col>2</xdr:col>
      <xdr:colOff>2728575</xdr:colOff>
      <xdr:row>4</xdr:row>
      <xdr:rowOff>138000</xdr:rowOff>
    </xdr:to>
    <xdr:sp macro="[0]!Terug_naar_start" textlink="">
      <xdr:nvSpPr>
        <xdr:cNvPr id="3" name="Pijl-links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bwMode="auto">
        <a:xfrm>
          <a:off x="328613" y="152400"/>
          <a:ext cx="2700000" cy="900000"/>
        </a:xfrm>
        <a:prstGeom prst="leftArrow">
          <a:avLst/>
        </a:prstGeom>
        <a:solidFill>
          <a:srgbClr val="FC4861"/>
        </a:solidFill>
        <a:ln>
          <a:solidFill>
            <a:srgbClr val="FC4861"/>
          </a:solidFill>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a:t>Terug</a:t>
          </a:r>
          <a:r>
            <a:rPr lang="nl-NL" sz="1400" baseline="0"/>
            <a:t> </a:t>
          </a:r>
          <a:r>
            <a:rPr lang="nl-NL" sz="1400"/>
            <a:t>naar</a:t>
          </a:r>
          <a:r>
            <a:rPr lang="nl-NL" sz="1400" baseline="0"/>
            <a:t> </a:t>
          </a:r>
          <a:r>
            <a:rPr lang="nl-NL" sz="1400" i="1"/>
            <a:t>Startpagina</a:t>
          </a:r>
        </a:p>
      </xdr:txBody>
    </xdr:sp>
    <xdr:clientData/>
  </xdr:twoCellAnchor>
  <xdr:twoCellAnchor>
    <xdr:from>
      <xdr:col>9</xdr:col>
      <xdr:colOff>42865</xdr:colOff>
      <xdr:row>0</xdr:row>
      <xdr:rowOff>152400</xdr:rowOff>
    </xdr:from>
    <xdr:to>
      <xdr:col>15</xdr:col>
      <xdr:colOff>720640</xdr:colOff>
      <xdr:row>4</xdr:row>
      <xdr:rowOff>138000</xdr:rowOff>
    </xdr:to>
    <xdr:sp macro="[0]!Terug_naar_start" textlink="">
      <xdr:nvSpPr>
        <xdr:cNvPr id="4" name="Pijl-links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bwMode="auto">
        <a:xfrm flipH="1">
          <a:off x="7405690" y="152400"/>
          <a:ext cx="3240000" cy="900000"/>
        </a:xfrm>
        <a:prstGeom prst="leftArrow">
          <a:avLst/>
        </a:prstGeom>
        <a:solidFill>
          <a:srgbClr val="FC4861"/>
        </a:solidFill>
        <a:ln>
          <a:solidFill>
            <a:srgbClr val="FC4861"/>
          </a:solidFill>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a:t>Naar</a:t>
          </a:r>
          <a:r>
            <a:rPr lang="nl-NL" sz="1400" baseline="0"/>
            <a:t> </a:t>
          </a:r>
          <a:r>
            <a:rPr lang="nl-NL" sz="1400" i="1"/>
            <a:t>Indicatie</a:t>
          </a:r>
          <a:r>
            <a:rPr lang="nl-NL" sz="1400" i="1" baseline="0"/>
            <a:t> inkomensgevolgen</a:t>
          </a:r>
          <a:endParaRPr lang="nl-NL" sz="1400" i="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3214669</xdr:colOff>
      <xdr:row>0</xdr:row>
      <xdr:rowOff>138358</xdr:rowOff>
    </xdr:from>
    <xdr:to>
      <xdr:col>5</xdr:col>
      <xdr:colOff>333019</xdr:colOff>
      <xdr:row>6</xdr:row>
      <xdr:rowOff>9658</xdr:rowOff>
    </xdr:to>
    <xdr:sp macro="[0]!Terug_naar_start" textlink="">
      <xdr:nvSpPr>
        <xdr:cNvPr id="2" name="Pijl-links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bwMode="auto">
        <a:xfrm>
          <a:off x="3671869" y="138358"/>
          <a:ext cx="2700000" cy="900000"/>
        </a:xfrm>
        <a:prstGeom prst="leftArrow">
          <a:avLst/>
        </a:prstGeom>
        <a:solidFill>
          <a:srgbClr val="FC4861"/>
        </a:solidFill>
        <a:ln>
          <a:solidFill>
            <a:srgbClr val="FC4861"/>
          </a:solidFill>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a:t>Terug</a:t>
          </a:r>
          <a:r>
            <a:rPr lang="nl-NL" sz="1400" baseline="0"/>
            <a:t> </a:t>
          </a:r>
          <a:r>
            <a:rPr lang="nl-NL" sz="1400"/>
            <a:t>naar</a:t>
          </a:r>
          <a:r>
            <a:rPr lang="nl-NL" sz="1400" baseline="0"/>
            <a:t> </a:t>
          </a:r>
          <a:r>
            <a:rPr lang="nl-NL" sz="1400" i="1" baseline="0"/>
            <a:t>Loonkosten</a:t>
          </a:r>
          <a:endParaRPr lang="nl-NL" sz="1400" i="1"/>
        </a:p>
      </xdr:txBody>
    </xdr:sp>
    <xdr:clientData/>
  </xdr:twoCellAnchor>
  <xdr:twoCellAnchor>
    <xdr:from>
      <xdr:col>1</xdr:col>
      <xdr:colOff>83368</xdr:colOff>
      <xdr:row>0</xdr:row>
      <xdr:rowOff>138358</xdr:rowOff>
    </xdr:from>
    <xdr:to>
      <xdr:col>2</xdr:col>
      <xdr:colOff>2611918</xdr:colOff>
      <xdr:row>6</xdr:row>
      <xdr:rowOff>9658</xdr:rowOff>
    </xdr:to>
    <xdr:sp macro="[0]!Terug_naar_start" textlink="">
      <xdr:nvSpPr>
        <xdr:cNvPr id="3" name="Pijl-links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bwMode="auto">
        <a:xfrm>
          <a:off x="369118" y="138358"/>
          <a:ext cx="2700000" cy="900000"/>
        </a:xfrm>
        <a:prstGeom prst="leftArrow">
          <a:avLst/>
        </a:prstGeom>
        <a:solidFill>
          <a:srgbClr val="FC4861"/>
        </a:solidFill>
        <a:ln>
          <a:solidFill>
            <a:srgbClr val="FC4861"/>
          </a:solidFill>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a:t>Terug</a:t>
          </a:r>
          <a:r>
            <a:rPr lang="nl-NL" sz="1400" baseline="0"/>
            <a:t> </a:t>
          </a:r>
          <a:r>
            <a:rPr lang="nl-NL" sz="1400"/>
            <a:t>naar</a:t>
          </a:r>
          <a:r>
            <a:rPr lang="nl-NL" sz="1400" baseline="0"/>
            <a:t> </a:t>
          </a:r>
          <a:r>
            <a:rPr lang="nl-NL" sz="1400" i="1"/>
            <a:t>Startpagina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2700000</xdr:colOff>
      <xdr:row>6</xdr:row>
      <xdr:rowOff>54557</xdr:rowOff>
    </xdr:to>
    <xdr:sp macro="[0]!Terug_naar_start" textlink="">
      <xdr:nvSpPr>
        <xdr:cNvPr id="2" name="Pijl-links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bwMode="auto">
        <a:xfrm>
          <a:off x="428625" y="180975"/>
          <a:ext cx="2700000" cy="959432"/>
        </a:xfrm>
        <a:prstGeom prst="leftArrow">
          <a:avLst/>
        </a:prstGeom>
        <a:solidFill>
          <a:srgbClr val="FC4861"/>
        </a:solidFill>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a:t>Terug</a:t>
          </a:r>
          <a:r>
            <a:rPr lang="nl-NL" sz="1400" baseline="0"/>
            <a:t> </a:t>
          </a:r>
          <a:r>
            <a:rPr lang="nl-NL" sz="1400"/>
            <a:t>naar</a:t>
          </a:r>
          <a:r>
            <a:rPr lang="nl-NL" sz="1400" baseline="0"/>
            <a:t> </a:t>
          </a:r>
          <a:r>
            <a:rPr lang="nl-NL" sz="1400" i="1" baseline="0"/>
            <a:t>Loonkosten</a:t>
          </a:r>
          <a:endParaRPr lang="nl-NL" sz="1400" i="1"/>
        </a:p>
      </xdr:txBody>
    </xdr:sp>
    <xdr:clientData/>
  </xdr:twoCellAnchor>
  <xdr:twoCellAnchor>
    <xdr:from>
      <xdr:col>3</xdr:col>
      <xdr:colOff>0</xdr:colOff>
      <xdr:row>0</xdr:row>
      <xdr:rowOff>166933</xdr:rowOff>
    </xdr:from>
    <xdr:to>
      <xdr:col>6</xdr:col>
      <xdr:colOff>38891</xdr:colOff>
      <xdr:row>6</xdr:row>
      <xdr:rowOff>44737</xdr:rowOff>
    </xdr:to>
    <xdr:sp macro="[0]!Terug_naar_start" textlink="">
      <xdr:nvSpPr>
        <xdr:cNvPr id="3" name="Pijl-links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bwMode="auto">
        <a:xfrm>
          <a:off x="3867150" y="166933"/>
          <a:ext cx="2782091" cy="963654"/>
        </a:xfrm>
        <a:prstGeom prst="leftArrow">
          <a:avLst/>
        </a:prstGeom>
        <a:solidFill>
          <a:srgbClr val="FC4861"/>
        </a:solidFill>
        <a:ln>
          <a:headEnd type="none" w="med" len="med"/>
          <a:tailEnd type="none" w="med" len="med"/>
        </a:ln>
      </xdr:spPr>
      <xdr:style>
        <a:lnRef idx="0">
          <a:schemeClr val="accent5"/>
        </a:lnRef>
        <a:fillRef idx="3">
          <a:schemeClr val="accent5"/>
        </a:fillRef>
        <a:effectRef idx="3">
          <a:schemeClr val="accent5"/>
        </a:effectRef>
        <a:fontRef idx="minor">
          <a:schemeClr val="lt1"/>
        </a:fontRef>
      </xdr:style>
      <xdr:txBody>
        <a:bodyPr vertOverflow="clip" horzOverflow="clip" wrap="square" lIns="18288" tIns="0" rIns="0" bIns="0" rtlCol="0" anchor="ctr" upright="1"/>
        <a:lstStyle/>
        <a:p>
          <a:pPr algn="ctr"/>
          <a:r>
            <a:rPr lang="nl-NL" sz="1400"/>
            <a:t>Terug</a:t>
          </a:r>
          <a:r>
            <a:rPr lang="nl-NL" sz="1400" baseline="0"/>
            <a:t> </a:t>
          </a:r>
          <a:r>
            <a:rPr lang="nl-NL" sz="1400"/>
            <a:t>naar</a:t>
          </a:r>
          <a:r>
            <a:rPr lang="nl-NL" sz="1400" baseline="0"/>
            <a:t> </a:t>
          </a:r>
          <a:r>
            <a:rPr lang="nl-NL" sz="1400" i="1"/>
            <a:t>Startpagina</a:t>
          </a:r>
        </a:p>
      </xdr:txBody>
    </xdr:sp>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info@arbeidmarktplatformpo.nl" TargetMode="External"/><Relationship Id="rId2" Type="http://schemas.openxmlformats.org/officeDocument/2006/relationships/hyperlink" Target="mailto:info@arbeidmarktplatformpo.nl" TargetMode="External"/><Relationship Id="rId1" Type="http://schemas.openxmlformats.org/officeDocument/2006/relationships/hyperlink" Target="https://arbeidsmarktplatformpo.nl/wp-content/uploads/2022/12/Handreiking-generatiepact.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rbeidsmarktplatformpo.nl/wp-content/uploads/2023/12/Handreiking-generatiepact-1.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oraad.nl/system/files/2025-01/280125%20Model%20werkgeverslasten%202025.xlsx"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staatvenz.nl/financiele-middelen/premieoverzicht-zvw-begroting" TargetMode="External"/><Relationship Id="rId3" Type="http://schemas.openxmlformats.org/officeDocument/2006/relationships/hyperlink" Target="https://www.abp.nl/content/dam/abp/documenten/formulieren-tabellen/premietabel_2025.pdf" TargetMode="External"/><Relationship Id="rId7" Type="http://schemas.openxmlformats.org/officeDocument/2006/relationships/hyperlink" Target="https://zoek.officielebekendmakingen.nl/stcrt-2024-38722.html" TargetMode="External"/><Relationship Id="rId2" Type="http://schemas.openxmlformats.org/officeDocument/2006/relationships/hyperlink" Target="https://www.abp.nl/content/dam/abp/documenten/formulieren-tabellen/premietabel_2025.pdf" TargetMode="External"/><Relationship Id="rId1" Type="http://schemas.openxmlformats.org/officeDocument/2006/relationships/hyperlink" Target="https://www.vfpf.nl/actueel/concept-premiepercentages-vf-en-pf-voor-2025-zijn-bekend" TargetMode="External"/><Relationship Id="rId6" Type="http://schemas.openxmlformats.org/officeDocument/2006/relationships/hyperlink" Target="https://zoek.officielebekendmakingen.nl/stcrt-2024-38722.html" TargetMode="External"/><Relationship Id="rId5" Type="http://schemas.openxmlformats.org/officeDocument/2006/relationships/hyperlink" Target="https://www.uwv.nl/imagesdxa/gedifferentieerde-premies-wga-en-ziektewet-2025_tcm94-459883.pdf" TargetMode="External"/><Relationship Id="rId10" Type="http://schemas.openxmlformats.org/officeDocument/2006/relationships/comments" Target="../comments4.xml"/><Relationship Id="rId4" Type="http://schemas.openxmlformats.org/officeDocument/2006/relationships/hyperlink" Target="https://www.abp.nl/content/dam/abp/documenten/formulieren-tabellen/premietabel_2025.pdf" TargetMode="External"/><Relationship Id="rId9"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download.belastingdienst.nl/belastingdienst/docs/bijlage-nieuwsbrief-loonheffingen-2025-lh2091b51fd.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B3:AD39"/>
  <sheetViews>
    <sheetView zoomScaleNormal="100" workbookViewId="0">
      <selection activeCell="D8" sqref="D8"/>
    </sheetView>
  </sheetViews>
  <sheetFormatPr defaultColWidth="9.140625" defaultRowHeight="15" customHeight="1" x14ac:dyDescent="0.25"/>
  <cols>
    <col min="1" max="1" width="2.28515625" style="36" customWidth="1"/>
    <col min="2" max="2" width="2.85546875" style="36" customWidth="1"/>
    <col min="3" max="3" width="3" style="36" customWidth="1"/>
    <col min="4" max="6" width="9.140625" style="36"/>
    <col min="7" max="9" width="2.5703125" style="36" customWidth="1"/>
    <col min="10" max="10" width="2.7109375" style="36" customWidth="1"/>
    <col min="11" max="11" width="3.140625" style="36" customWidth="1"/>
    <col min="12" max="12" width="12.85546875" style="36" customWidth="1"/>
    <col min="13" max="13" width="22" style="36" customWidth="1"/>
    <col min="14" max="14" width="2.5703125" style="36" customWidth="1"/>
    <col min="15" max="15" width="2.140625" style="36" customWidth="1"/>
    <col min="16" max="16" width="2.42578125" style="36" customWidth="1"/>
    <col min="17" max="17" width="2.5703125" style="36" customWidth="1"/>
    <col min="18" max="18" width="3.5703125" style="36" customWidth="1"/>
    <col min="19" max="21" width="9.140625" style="36"/>
    <col min="22" max="22" width="2.5703125" style="36" customWidth="1"/>
    <col min="23" max="28" width="9.140625" style="36"/>
    <col min="29" max="29" width="3.140625" style="36" customWidth="1"/>
    <col min="30" max="30" width="3.7109375" style="36" customWidth="1"/>
    <col min="31" max="16384" width="9.140625" style="36"/>
  </cols>
  <sheetData>
    <row r="3" spans="2:30" x14ac:dyDescent="0.25">
      <c r="D3" s="524"/>
      <c r="E3" s="524"/>
      <c r="F3" s="524"/>
      <c r="G3" s="524"/>
      <c r="H3" s="524"/>
      <c r="I3" s="524"/>
      <c r="J3" s="524"/>
    </row>
    <row r="4" spans="2:30" x14ac:dyDescent="0.25">
      <c r="D4" s="83"/>
      <c r="E4" s="83"/>
      <c r="F4" s="83"/>
      <c r="G4" s="83"/>
      <c r="H4" s="83"/>
      <c r="I4" s="83"/>
      <c r="J4" s="83"/>
    </row>
    <row r="5" spans="2:30" ht="21" x14ac:dyDescent="0.35">
      <c r="D5" s="268" t="s">
        <v>122</v>
      </c>
      <c r="E5" s="83"/>
      <c r="F5" s="83"/>
      <c r="G5" s="83"/>
      <c r="H5" s="83"/>
      <c r="I5" s="83"/>
      <c r="J5" s="83"/>
    </row>
    <row r="6" spans="2:30" ht="15" customHeight="1" thickBot="1" x14ac:dyDescent="0.3">
      <c r="Q6" s="57"/>
      <c r="R6" s="57"/>
      <c r="S6" s="57"/>
      <c r="T6" s="57"/>
      <c r="U6" s="57"/>
    </row>
    <row r="7" spans="2:30" s="52" customFormat="1" ht="18.75" customHeight="1" thickTop="1" x14ac:dyDescent="0.25">
      <c r="B7" s="253"/>
      <c r="C7" s="254"/>
      <c r="D7" s="272"/>
      <c r="E7" s="272"/>
      <c r="F7" s="272"/>
      <c r="G7" s="272"/>
      <c r="H7" s="272"/>
      <c r="I7" s="272"/>
      <c r="J7" s="272"/>
      <c r="K7" s="272"/>
      <c r="L7" s="272"/>
      <c r="M7" s="272"/>
      <c r="N7" s="272"/>
      <c r="O7" s="254"/>
      <c r="P7" s="254"/>
      <c r="Q7" s="254"/>
      <c r="R7" s="254"/>
      <c r="S7" s="254"/>
      <c r="T7" s="254"/>
      <c r="U7" s="254"/>
      <c r="V7" s="254"/>
      <c r="W7" s="254"/>
      <c r="X7" s="254"/>
      <c r="Y7" s="254"/>
      <c r="Z7" s="254"/>
      <c r="AA7" s="254"/>
      <c r="AB7" s="254"/>
      <c r="AC7" s="254"/>
      <c r="AD7" s="255"/>
    </row>
    <row r="8" spans="2:30" s="52" customFormat="1" ht="15" customHeight="1" x14ac:dyDescent="0.35">
      <c r="B8" s="256"/>
      <c r="C8" s="53"/>
      <c r="D8" s="269" t="s">
        <v>81</v>
      </c>
      <c r="E8" s="69"/>
      <c r="F8" s="69"/>
      <c r="G8" s="69"/>
      <c r="H8" s="69"/>
      <c r="I8" s="69"/>
      <c r="J8" s="69"/>
      <c r="K8" s="69"/>
      <c r="L8" s="69"/>
      <c r="M8" s="69"/>
      <c r="N8" s="69"/>
      <c r="O8" s="53"/>
      <c r="P8" s="53"/>
      <c r="Q8" s="53"/>
      <c r="R8" s="53"/>
      <c r="S8" s="53"/>
      <c r="T8" s="53"/>
      <c r="U8" s="53"/>
      <c r="V8" s="53"/>
      <c r="W8" s="53"/>
      <c r="X8" s="53"/>
      <c r="Y8" s="53"/>
      <c r="Z8" s="53"/>
      <c r="AA8" s="53"/>
      <c r="AB8" s="53"/>
      <c r="AC8" s="53"/>
      <c r="AD8" s="257"/>
    </row>
    <row r="9" spans="2:30" s="52" customFormat="1" ht="15" customHeight="1" x14ac:dyDescent="0.25">
      <c r="B9" s="256"/>
      <c r="C9" s="53"/>
      <c r="D9" s="69"/>
      <c r="E9" s="69"/>
      <c r="F9" s="69"/>
      <c r="G9" s="69"/>
      <c r="H9" s="69"/>
      <c r="I9" s="69"/>
      <c r="J9" s="69"/>
      <c r="K9" s="69"/>
      <c r="L9" s="69"/>
      <c r="M9" s="69"/>
      <c r="N9" s="69"/>
      <c r="O9" s="53"/>
      <c r="P9" s="53"/>
      <c r="Q9" s="53"/>
      <c r="R9" s="53"/>
      <c r="S9" s="53"/>
      <c r="T9" s="53"/>
      <c r="U9" s="53"/>
      <c r="V9" s="53"/>
      <c r="W9" s="53"/>
      <c r="X9" s="53"/>
      <c r="Y9" s="53"/>
      <c r="Z9" s="53"/>
      <c r="AA9" s="53"/>
      <c r="AB9" s="53"/>
      <c r="AC9" s="53"/>
      <c r="AD9" s="257"/>
    </row>
    <row r="10" spans="2:30" s="52" customFormat="1" ht="15" customHeight="1" x14ac:dyDescent="0.25">
      <c r="B10" s="256"/>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257"/>
    </row>
    <row r="11" spans="2:30" s="52" customFormat="1" ht="45.75" customHeight="1" x14ac:dyDescent="0.25">
      <c r="B11" s="256"/>
      <c r="C11" s="54"/>
      <c r="D11" s="520" t="s">
        <v>307</v>
      </c>
      <c r="E11" s="520"/>
      <c r="F11" s="520"/>
      <c r="G11" s="520"/>
      <c r="H11" s="520"/>
      <c r="I11" s="520"/>
      <c r="J11" s="520"/>
      <c r="K11" s="520"/>
      <c r="L11" s="520"/>
      <c r="M11" s="520"/>
      <c r="N11" s="520"/>
      <c r="O11" s="521"/>
      <c r="P11" s="521"/>
      <c r="Q11" s="521"/>
      <c r="R11" s="521"/>
      <c r="S11" s="521"/>
      <c r="T11" s="521"/>
      <c r="U11" s="521"/>
      <c r="V11" s="521"/>
      <c r="W11" s="521"/>
      <c r="X11" s="521"/>
      <c r="Y11" s="521"/>
      <c r="Z11" s="521"/>
      <c r="AA11" s="521"/>
      <c r="AB11" s="521"/>
      <c r="AC11" s="54"/>
      <c r="AD11" s="257"/>
    </row>
    <row r="12" spans="2:30" s="52" customFormat="1" ht="15" customHeight="1" x14ac:dyDescent="0.25">
      <c r="B12" s="256"/>
      <c r="C12" s="54"/>
      <c r="D12" s="519" t="s">
        <v>123</v>
      </c>
      <c r="E12" s="520"/>
      <c r="F12" s="520"/>
      <c r="G12" s="520"/>
      <c r="H12" s="520"/>
      <c r="I12" s="520"/>
      <c r="J12" s="520"/>
      <c r="K12" s="520"/>
      <c r="L12" s="520"/>
      <c r="M12" s="520"/>
      <c r="N12" s="520"/>
      <c r="O12" s="521"/>
      <c r="P12" s="521"/>
      <c r="Q12" s="521"/>
      <c r="R12" s="521"/>
      <c r="S12" s="521"/>
      <c r="T12" s="521"/>
      <c r="U12" s="521"/>
      <c r="V12" s="521"/>
      <c r="W12" s="521"/>
      <c r="X12" s="521"/>
      <c r="Y12" s="521"/>
      <c r="Z12" s="521"/>
      <c r="AA12" s="521"/>
      <c r="AB12" s="521"/>
      <c r="AC12" s="54"/>
      <c r="AD12" s="257"/>
    </row>
    <row r="13" spans="2:30" s="52" customFormat="1" ht="15" customHeight="1" x14ac:dyDescent="0.25">
      <c r="B13" s="256"/>
      <c r="C13" s="54"/>
      <c r="D13" s="519" t="s">
        <v>124</v>
      </c>
      <c r="E13" s="520"/>
      <c r="F13" s="520"/>
      <c r="G13" s="520"/>
      <c r="H13" s="520"/>
      <c r="I13" s="520"/>
      <c r="J13" s="520"/>
      <c r="K13" s="520"/>
      <c r="L13" s="520"/>
      <c r="M13" s="520"/>
      <c r="N13" s="520"/>
      <c r="O13" s="521"/>
      <c r="P13" s="521"/>
      <c r="Q13" s="521"/>
      <c r="R13" s="521"/>
      <c r="S13" s="521"/>
      <c r="T13" s="521"/>
      <c r="U13" s="521"/>
      <c r="V13" s="521"/>
      <c r="W13" s="521"/>
      <c r="X13" s="521"/>
      <c r="Y13" s="521"/>
      <c r="Z13" s="521"/>
      <c r="AA13" s="521"/>
      <c r="AB13" s="521"/>
      <c r="AC13" s="54"/>
      <c r="AD13" s="257"/>
    </row>
    <row r="14" spans="2:30" s="52" customFormat="1" ht="15" customHeight="1" x14ac:dyDescent="0.25">
      <c r="B14" s="256"/>
      <c r="C14" s="54"/>
      <c r="D14" s="519" t="s">
        <v>224</v>
      </c>
      <c r="E14" s="520"/>
      <c r="F14" s="520"/>
      <c r="G14" s="520"/>
      <c r="H14" s="520"/>
      <c r="I14" s="520"/>
      <c r="J14" s="520"/>
      <c r="K14" s="520"/>
      <c r="L14" s="520"/>
      <c r="M14" s="520"/>
      <c r="N14" s="520"/>
      <c r="O14" s="521"/>
      <c r="P14" s="521"/>
      <c r="Q14" s="521"/>
      <c r="R14" s="521"/>
      <c r="S14" s="521"/>
      <c r="T14" s="521"/>
      <c r="U14" s="521"/>
      <c r="V14" s="521"/>
      <c r="W14" s="521"/>
      <c r="X14" s="521"/>
      <c r="Y14" s="521"/>
      <c r="Z14" s="521"/>
      <c r="AA14" s="521"/>
      <c r="AB14" s="521"/>
      <c r="AC14" s="54"/>
      <c r="AD14" s="257"/>
    </row>
    <row r="15" spans="2:30" s="52" customFormat="1" ht="15" customHeight="1" x14ac:dyDescent="0.25">
      <c r="B15" s="256"/>
      <c r="C15" s="54"/>
      <c r="D15" s="519"/>
      <c r="E15" s="520"/>
      <c r="F15" s="520"/>
      <c r="G15" s="520"/>
      <c r="H15" s="520"/>
      <c r="I15" s="520"/>
      <c r="J15" s="520"/>
      <c r="K15" s="520"/>
      <c r="L15" s="520"/>
      <c r="M15" s="520"/>
      <c r="N15" s="520"/>
      <c r="O15" s="521"/>
      <c r="P15" s="521"/>
      <c r="Q15" s="521"/>
      <c r="R15" s="521"/>
      <c r="S15" s="521"/>
      <c r="T15" s="521"/>
      <c r="U15" s="521"/>
      <c r="V15" s="521"/>
      <c r="W15" s="521"/>
      <c r="X15" s="521"/>
      <c r="Y15" s="521"/>
      <c r="Z15" s="521"/>
      <c r="AA15" s="521"/>
      <c r="AB15" s="521"/>
      <c r="AC15" s="54"/>
      <c r="AD15" s="257"/>
    </row>
    <row r="16" spans="2:30" s="52" customFormat="1" ht="15" customHeight="1" x14ac:dyDescent="0.25">
      <c r="B16" s="256"/>
      <c r="C16" s="54"/>
      <c r="D16" s="519" t="s">
        <v>227</v>
      </c>
      <c r="E16" s="520"/>
      <c r="F16" s="520"/>
      <c r="G16" s="520"/>
      <c r="H16" s="520"/>
      <c r="I16" s="520"/>
      <c r="J16" s="520"/>
      <c r="K16" s="520"/>
      <c r="L16" s="520"/>
      <c r="M16" s="520"/>
      <c r="N16" s="520"/>
      <c r="O16" s="521"/>
      <c r="P16" s="521"/>
      <c r="Q16" s="521"/>
      <c r="R16" s="521"/>
      <c r="S16" s="521"/>
      <c r="T16" s="521"/>
      <c r="U16" s="521"/>
      <c r="V16" s="521"/>
      <c r="W16" s="521"/>
      <c r="X16" s="521"/>
      <c r="Y16" s="521"/>
      <c r="Z16" s="521"/>
      <c r="AA16" s="521"/>
      <c r="AB16" s="521"/>
      <c r="AC16" s="54"/>
      <c r="AD16" s="257"/>
    </row>
    <row r="17" spans="2:30" s="52" customFormat="1" ht="15" customHeight="1" x14ac:dyDescent="0.25">
      <c r="B17" s="256"/>
      <c r="C17" s="54"/>
      <c r="D17" s="519" t="s">
        <v>308</v>
      </c>
      <c r="E17" s="520"/>
      <c r="F17" s="520"/>
      <c r="G17" s="520"/>
      <c r="H17" s="520"/>
      <c r="I17" s="520"/>
      <c r="J17" s="520"/>
      <c r="K17" s="520"/>
      <c r="L17" s="520"/>
      <c r="M17" s="520"/>
      <c r="N17" s="520"/>
      <c r="O17" s="521"/>
      <c r="P17" s="521"/>
      <c r="Q17" s="521"/>
      <c r="R17" s="521"/>
      <c r="S17" s="521"/>
      <c r="T17" s="521"/>
      <c r="U17" s="521"/>
      <c r="V17" s="521"/>
      <c r="W17" s="521"/>
      <c r="X17" s="521"/>
      <c r="Y17" s="521"/>
      <c r="Z17" s="521"/>
      <c r="AA17" s="521"/>
      <c r="AB17" s="521"/>
      <c r="AC17" s="54"/>
      <c r="AD17" s="257"/>
    </row>
    <row r="18" spans="2:30" s="52" customFormat="1" ht="30" customHeight="1" x14ac:dyDescent="0.25">
      <c r="B18" s="256"/>
      <c r="C18" s="54"/>
      <c r="D18" s="519" t="s">
        <v>225</v>
      </c>
      <c r="E18" s="520"/>
      <c r="F18" s="520"/>
      <c r="G18" s="520"/>
      <c r="H18" s="520"/>
      <c r="I18" s="520"/>
      <c r="J18" s="520"/>
      <c r="K18" s="520"/>
      <c r="L18" s="520"/>
      <c r="M18" s="520"/>
      <c r="N18" s="520"/>
      <c r="O18" s="521"/>
      <c r="P18" s="521"/>
      <c r="Q18" s="521"/>
      <c r="R18" s="521"/>
      <c r="S18" s="521"/>
      <c r="T18" s="521"/>
      <c r="U18" s="521"/>
      <c r="V18" s="521"/>
      <c r="W18" s="521"/>
      <c r="X18" s="521"/>
      <c r="Y18" s="521"/>
      <c r="Z18" s="521"/>
      <c r="AA18" s="521"/>
      <c r="AB18" s="521"/>
      <c r="AC18" s="54"/>
      <c r="AD18" s="257"/>
    </row>
    <row r="19" spans="2:30" s="52" customFormat="1" ht="15" customHeight="1" x14ac:dyDescent="0.25">
      <c r="B19" s="256"/>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257"/>
    </row>
    <row r="20" spans="2:30" s="52" customFormat="1" ht="15" customHeight="1" x14ac:dyDescent="0.25">
      <c r="B20" s="256"/>
      <c r="C20" s="53"/>
      <c r="D20" s="270"/>
      <c r="E20" s="71"/>
      <c r="F20" s="71"/>
      <c r="G20" s="71"/>
      <c r="H20" s="71"/>
      <c r="I20" s="71"/>
      <c r="J20" s="71"/>
      <c r="K20" s="71"/>
      <c r="L20" s="71"/>
      <c r="M20" s="71"/>
      <c r="N20" s="71"/>
      <c r="O20" s="71"/>
      <c r="P20" s="53"/>
      <c r="Q20" s="53"/>
      <c r="R20" s="53"/>
      <c r="S20" s="53"/>
      <c r="T20" s="53"/>
      <c r="U20" s="53"/>
      <c r="V20" s="53"/>
      <c r="W20" s="53"/>
      <c r="X20" s="53"/>
      <c r="Y20" s="53"/>
      <c r="Z20" s="53"/>
      <c r="AA20" s="53"/>
      <c r="AB20" s="53"/>
      <c r="AC20" s="53"/>
      <c r="AD20" s="257"/>
    </row>
    <row r="21" spans="2:30" s="52" customFormat="1" ht="21" x14ac:dyDescent="0.35">
      <c r="B21" s="256"/>
      <c r="C21" s="53"/>
      <c r="D21" s="269" t="s">
        <v>102</v>
      </c>
      <c r="E21" s="69"/>
      <c r="F21" s="69"/>
      <c r="G21" s="69"/>
      <c r="H21" s="69"/>
      <c r="I21" s="69"/>
      <c r="J21" s="69"/>
      <c r="K21" s="69"/>
      <c r="L21" s="69"/>
      <c r="M21" s="69"/>
      <c r="N21" s="69"/>
      <c r="O21" s="72"/>
      <c r="P21" s="53"/>
      <c r="Q21" s="53"/>
      <c r="R21" s="53"/>
      <c r="S21" s="53"/>
      <c r="T21" s="53"/>
      <c r="U21" s="53"/>
      <c r="V21" s="53"/>
      <c r="W21" s="53"/>
      <c r="X21" s="53"/>
      <c r="Y21" s="53"/>
      <c r="Z21" s="53"/>
      <c r="AA21" s="53"/>
      <c r="AB21" s="53"/>
      <c r="AC21" s="53"/>
      <c r="AD21" s="257"/>
    </row>
    <row r="22" spans="2:30" s="52" customFormat="1" ht="15" customHeight="1" x14ac:dyDescent="0.25">
      <c r="B22" s="256"/>
      <c r="C22" s="53"/>
      <c r="D22" s="69"/>
      <c r="E22" s="69"/>
      <c r="F22" s="69"/>
      <c r="G22" s="69"/>
      <c r="H22" s="69"/>
      <c r="I22" s="69"/>
      <c r="J22" s="69"/>
      <c r="K22" s="69"/>
      <c r="L22" s="69"/>
      <c r="M22" s="69"/>
      <c r="N22" s="69"/>
      <c r="O22" s="72"/>
      <c r="P22" s="53"/>
      <c r="Q22" s="53"/>
      <c r="R22" s="53"/>
      <c r="S22" s="53"/>
      <c r="T22" s="53"/>
      <c r="U22" s="53"/>
      <c r="V22" s="53"/>
      <c r="W22" s="53"/>
      <c r="X22" s="53"/>
      <c r="Y22" s="53"/>
      <c r="Z22" s="53"/>
      <c r="AA22" s="53"/>
      <c r="AB22" s="53"/>
      <c r="AC22" s="53"/>
      <c r="AD22" s="257"/>
    </row>
    <row r="23" spans="2:30" s="52" customFormat="1" ht="15" customHeight="1" x14ac:dyDescent="0.25">
      <c r="B23" s="256"/>
      <c r="C23" s="54"/>
      <c r="D23" s="74"/>
      <c r="E23" s="74"/>
      <c r="F23" s="74"/>
      <c r="G23" s="74"/>
      <c r="H23" s="74"/>
      <c r="I23" s="74"/>
      <c r="J23" s="74"/>
      <c r="K23" s="74"/>
      <c r="L23" s="74"/>
      <c r="M23" s="74"/>
      <c r="N23" s="74"/>
      <c r="O23" s="70"/>
      <c r="P23" s="54"/>
      <c r="Q23" s="54"/>
      <c r="R23" s="54"/>
      <c r="S23" s="54"/>
      <c r="T23" s="54"/>
      <c r="U23" s="54"/>
      <c r="V23" s="54"/>
      <c r="W23" s="54"/>
      <c r="X23" s="54"/>
      <c r="Y23" s="54"/>
      <c r="Z23" s="54"/>
      <c r="AA23" s="54"/>
      <c r="AB23" s="54"/>
      <c r="AC23" s="54"/>
      <c r="AD23" s="257"/>
    </row>
    <row r="24" spans="2:30" s="52" customFormat="1" ht="30" customHeight="1" x14ac:dyDescent="0.25">
      <c r="B24" s="256"/>
      <c r="C24" s="73"/>
      <c r="D24" s="522" t="s">
        <v>228</v>
      </c>
      <c r="E24" s="523"/>
      <c r="F24" s="523"/>
      <c r="G24" s="523"/>
      <c r="H24" s="523"/>
      <c r="I24" s="523"/>
      <c r="J24" s="523"/>
      <c r="K24" s="523"/>
      <c r="L24" s="523"/>
      <c r="M24" s="523"/>
      <c r="N24" s="523"/>
      <c r="O24" s="521"/>
      <c r="P24" s="521"/>
      <c r="Q24" s="521"/>
      <c r="R24" s="521"/>
      <c r="S24" s="521"/>
      <c r="T24" s="521"/>
      <c r="U24" s="521"/>
      <c r="V24" s="521"/>
      <c r="W24" s="521"/>
      <c r="X24" s="521"/>
      <c r="Y24" s="521"/>
      <c r="Z24" s="521"/>
      <c r="AA24" s="521"/>
      <c r="AB24" s="521"/>
      <c r="AC24" s="54"/>
      <c r="AD24" s="257"/>
    </row>
    <row r="25" spans="2:30" s="52" customFormat="1" ht="15" customHeight="1" x14ac:dyDescent="0.25">
      <c r="B25" s="256"/>
      <c r="C25" s="54"/>
      <c r="D25" s="74"/>
      <c r="E25" s="191"/>
      <c r="F25" s="191"/>
      <c r="G25" s="191"/>
      <c r="H25" s="191"/>
      <c r="I25" s="191"/>
      <c r="J25" s="191"/>
      <c r="K25" s="191"/>
      <c r="L25" s="191"/>
      <c r="M25" s="191"/>
      <c r="N25" s="191"/>
      <c r="O25" s="70"/>
      <c r="P25" s="54"/>
      <c r="Q25" s="54"/>
      <c r="R25" s="54"/>
      <c r="S25" s="54"/>
      <c r="T25" s="54"/>
      <c r="U25" s="54"/>
      <c r="V25" s="54"/>
      <c r="W25" s="54"/>
      <c r="X25" s="54"/>
      <c r="Y25" s="54"/>
      <c r="Z25" s="54"/>
      <c r="AA25" s="54"/>
      <c r="AB25" s="54"/>
      <c r="AC25" s="54"/>
      <c r="AD25" s="257"/>
    </row>
    <row r="26" spans="2:30" s="52" customFormat="1" ht="30.75" customHeight="1" x14ac:dyDescent="0.25">
      <c r="B26" s="256"/>
      <c r="C26" s="54"/>
      <c r="D26" s="522" t="s">
        <v>101</v>
      </c>
      <c r="E26" s="523"/>
      <c r="F26" s="523"/>
      <c r="G26" s="523"/>
      <c r="H26" s="523"/>
      <c r="I26" s="523"/>
      <c r="J26" s="523"/>
      <c r="K26" s="523"/>
      <c r="L26" s="523"/>
      <c r="M26" s="523"/>
      <c r="N26" s="523"/>
      <c r="O26" s="521"/>
      <c r="P26" s="521"/>
      <c r="Q26" s="521"/>
      <c r="R26" s="521"/>
      <c r="S26" s="521"/>
      <c r="T26" s="521"/>
      <c r="U26" s="521"/>
      <c r="V26" s="521"/>
      <c r="W26" s="521"/>
      <c r="X26" s="521"/>
      <c r="Y26" s="521"/>
      <c r="Z26" s="521"/>
      <c r="AA26" s="521"/>
      <c r="AB26" s="521"/>
      <c r="AC26" s="54"/>
      <c r="AD26" s="257"/>
    </row>
    <row r="27" spans="2:30" s="52" customFormat="1" ht="15" customHeight="1" x14ac:dyDescent="0.25">
      <c r="B27" s="256"/>
      <c r="C27" s="54"/>
      <c r="D27" s="74"/>
      <c r="E27" s="191"/>
      <c r="F27" s="191"/>
      <c r="G27" s="191"/>
      <c r="H27" s="191"/>
      <c r="I27" s="191"/>
      <c r="J27" s="191"/>
      <c r="K27" s="191"/>
      <c r="L27" s="191"/>
      <c r="M27" s="191"/>
      <c r="N27" s="191"/>
      <c r="O27" s="70"/>
      <c r="P27" s="54"/>
      <c r="Q27" s="54"/>
      <c r="R27" s="54"/>
      <c r="S27" s="54"/>
      <c r="T27" s="54"/>
      <c r="U27" s="54"/>
      <c r="V27" s="54"/>
      <c r="W27" s="54"/>
      <c r="X27" s="54"/>
      <c r="Y27" s="54"/>
      <c r="Z27" s="54"/>
      <c r="AA27" s="54"/>
      <c r="AB27" s="54"/>
      <c r="AC27" s="54"/>
      <c r="AD27" s="257"/>
    </row>
    <row r="28" spans="2:30" s="52" customFormat="1" ht="30" customHeight="1" x14ac:dyDescent="0.25">
      <c r="B28" s="256"/>
      <c r="C28" s="54"/>
      <c r="D28" s="522" t="s">
        <v>229</v>
      </c>
      <c r="E28" s="523"/>
      <c r="F28" s="523"/>
      <c r="G28" s="523"/>
      <c r="H28" s="523"/>
      <c r="I28" s="523"/>
      <c r="J28" s="523"/>
      <c r="K28" s="523"/>
      <c r="L28" s="523"/>
      <c r="M28" s="523"/>
      <c r="N28" s="523"/>
      <c r="O28" s="521"/>
      <c r="P28" s="521"/>
      <c r="Q28" s="521"/>
      <c r="R28" s="521"/>
      <c r="S28" s="521"/>
      <c r="T28" s="521"/>
      <c r="U28" s="521"/>
      <c r="V28" s="521"/>
      <c r="W28" s="521"/>
      <c r="X28" s="521"/>
      <c r="Y28" s="521"/>
      <c r="Z28" s="521"/>
      <c r="AA28" s="521"/>
      <c r="AB28" s="521"/>
      <c r="AC28" s="54"/>
      <c r="AD28" s="257"/>
    </row>
    <row r="29" spans="2:30" s="52" customFormat="1" ht="26.25" customHeight="1" x14ac:dyDescent="0.25">
      <c r="B29" s="256"/>
      <c r="C29" s="54"/>
      <c r="D29" s="74"/>
      <c r="E29" s="74"/>
      <c r="F29" s="74"/>
      <c r="G29" s="74"/>
      <c r="H29" s="74"/>
      <c r="I29" s="74"/>
      <c r="J29" s="74"/>
      <c r="K29" s="74"/>
      <c r="L29" s="74"/>
      <c r="M29" s="74"/>
      <c r="N29" s="74"/>
      <c r="O29" s="70"/>
      <c r="P29" s="54"/>
      <c r="Q29" s="54"/>
      <c r="R29" s="54"/>
      <c r="S29" s="54"/>
      <c r="T29" s="54"/>
      <c r="U29" s="54"/>
      <c r="V29" s="54"/>
      <c r="W29" s="54"/>
      <c r="X29" s="54"/>
      <c r="Y29" s="54"/>
      <c r="Z29" s="54"/>
      <c r="AA29" s="54"/>
      <c r="AB29" s="54"/>
      <c r="AC29" s="54"/>
      <c r="AD29" s="257"/>
    </row>
    <row r="30" spans="2:30" s="52" customFormat="1" ht="15" customHeight="1" x14ac:dyDescent="0.3">
      <c r="B30" s="256"/>
      <c r="C30" s="54"/>
      <c r="D30" s="271" t="s">
        <v>305</v>
      </c>
      <c r="E30" s="74"/>
      <c r="F30" s="517" t="s">
        <v>306</v>
      </c>
      <c r="G30" s="518"/>
      <c r="H30" s="518"/>
      <c r="I30" s="518"/>
      <c r="J30" s="518"/>
      <c r="K30" s="518"/>
      <c r="L30" s="518"/>
      <c r="M30" s="74"/>
      <c r="N30" s="74"/>
      <c r="O30" s="70"/>
      <c r="P30" s="54"/>
      <c r="Q30" s="54"/>
      <c r="R30" s="54"/>
      <c r="S30" s="54"/>
      <c r="T30" s="54"/>
      <c r="U30" s="54"/>
      <c r="V30" s="54"/>
      <c r="W30" s="54"/>
      <c r="X30" s="54"/>
      <c r="Y30" s="54"/>
      <c r="Z30" s="54"/>
      <c r="AA30" s="54"/>
      <c r="AB30" s="54"/>
      <c r="AC30" s="54"/>
      <c r="AD30" s="257"/>
    </row>
    <row r="31" spans="2:30" s="52" customFormat="1" ht="15" customHeight="1" x14ac:dyDescent="0.3">
      <c r="B31" s="256"/>
      <c r="C31" s="54"/>
      <c r="D31" s="271"/>
      <c r="E31" s="74"/>
      <c r="F31" s="454"/>
      <c r="G31" s="456"/>
      <c r="H31" s="456"/>
      <c r="I31" s="456"/>
      <c r="J31" s="456"/>
      <c r="K31" s="456"/>
      <c r="L31" s="456"/>
      <c r="M31" s="74"/>
      <c r="N31" s="74"/>
      <c r="O31" s="70"/>
      <c r="P31" s="54"/>
      <c r="Q31" s="54"/>
      <c r="R31" s="54"/>
      <c r="S31" s="54"/>
      <c r="T31" s="54"/>
      <c r="U31" s="54"/>
      <c r="V31" s="54"/>
      <c r="W31" s="54"/>
      <c r="X31" s="54"/>
      <c r="Y31" s="54"/>
      <c r="Z31" s="54"/>
      <c r="AA31" s="54"/>
      <c r="AB31" s="54"/>
      <c r="AC31" s="54"/>
      <c r="AD31" s="257"/>
    </row>
    <row r="32" spans="2:30" s="52" customFormat="1" ht="15" customHeight="1" x14ac:dyDescent="0.3">
      <c r="B32" s="256"/>
      <c r="C32" s="54"/>
      <c r="D32" s="271" t="s">
        <v>318</v>
      </c>
      <c r="E32" s="74"/>
      <c r="F32" s="454"/>
      <c r="G32" s="456"/>
      <c r="H32" s="456"/>
      <c r="I32" s="456"/>
      <c r="J32" s="456"/>
      <c r="K32" s="456"/>
      <c r="L32" s="456"/>
      <c r="M32" s="74"/>
      <c r="N32" s="74"/>
      <c r="O32" s="70"/>
      <c r="P32" s="54"/>
      <c r="Q32" s="54"/>
      <c r="R32" s="54"/>
      <c r="S32" s="54"/>
      <c r="T32" s="54"/>
      <c r="U32" s="54"/>
      <c r="V32" s="54"/>
      <c r="W32" s="54"/>
      <c r="X32" s="54"/>
      <c r="Y32" s="54"/>
      <c r="Z32" s="54"/>
      <c r="AA32" s="54"/>
      <c r="AB32" s="54"/>
      <c r="AC32" s="54"/>
      <c r="AD32" s="257"/>
    </row>
    <row r="33" spans="2:30" s="52" customFormat="1" ht="5.0999999999999996" customHeight="1" x14ac:dyDescent="0.3">
      <c r="B33" s="256"/>
      <c r="C33" s="54"/>
      <c r="D33" s="271"/>
      <c r="E33" s="74"/>
      <c r="F33" s="454"/>
      <c r="G33" s="456"/>
      <c r="H33" s="456"/>
      <c r="I33" s="456"/>
      <c r="J33" s="456"/>
      <c r="K33" s="456"/>
      <c r="L33" s="456"/>
      <c r="M33" s="74"/>
      <c r="N33" s="74"/>
      <c r="O33" s="70"/>
      <c r="P33" s="54"/>
      <c r="Q33" s="54"/>
      <c r="R33" s="54"/>
      <c r="S33" s="54"/>
      <c r="T33" s="54"/>
      <c r="U33" s="54"/>
      <c r="V33" s="54"/>
      <c r="W33" s="54"/>
      <c r="X33" s="54"/>
      <c r="Y33" s="54"/>
      <c r="Z33" s="54"/>
      <c r="AA33" s="54"/>
      <c r="AB33" s="54"/>
      <c r="AC33" s="54"/>
      <c r="AD33" s="257"/>
    </row>
    <row r="34" spans="2:30" s="52" customFormat="1" ht="15" customHeight="1" x14ac:dyDescent="0.3">
      <c r="B34" s="256"/>
      <c r="C34" s="54"/>
      <c r="D34" s="271"/>
      <c r="E34" s="271" t="s">
        <v>319</v>
      </c>
      <c r="F34" s="515" t="s">
        <v>320</v>
      </c>
      <c r="G34" s="516"/>
      <c r="H34" s="516"/>
      <c r="I34" s="516"/>
      <c r="J34" s="516"/>
      <c r="K34" s="516"/>
      <c r="L34" s="516"/>
      <c r="M34" s="516"/>
      <c r="N34" s="74"/>
      <c r="O34" s="70"/>
      <c r="P34" s="54"/>
      <c r="Q34" s="54"/>
      <c r="R34" s="54"/>
      <c r="S34" s="54"/>
      <c r="T34" s="54"/>
      <c r="U34" s="54"/>
      <c r="V34" s="54"/>
      <c r="W34" s="54"/>
      <c r="X34" s="54"/>
      <c r="Y34" s="54"/>
      <c r="Z34" s="54"/>
      <c r="AA34" s="54"/>
      <c r="AB34" s="54"/>
      <c r="AC34" s="54"/>
      <c r="AD34" s="257"/>
    </row>
    <row r="35" spans="2:30" s="52" customFormat="1" ht="5.0999999999999996" customHeight="1" x14ac:dyDescent="0.3">
      <c r="B35" s="256"/>
      <c r="C35" s="54"/>
      <c r="D35" s="271"/>
      <c r="E35" s="271"/>
      <c r="F35" s="462"/>
      <c r="G35" s="463"/>
      <c r="H35" s="463"/>
      <c r="I35" s="463"/>
      <c r="J35" s="463"/>
      <c r="K35" s="463"/>
      <c r="L35" s="463"/>
      <c r="M35" s="463"/>
      <c r="N35" s="74"/>
      <c r="O35" s="70"/>
      <c r="P35" s="54"/>
      <c r="Q35" s="54"/>
      <c r="R35" s="54"/>
      <c r="S35" s="54"/>
      <c r="T35" s="54"/>
      <c r="U35" s="54"/>
      <c r="V35" s="54"/>
      <c r="W35" s="54"/>
      <c r="X35" s="54"/>
      <c r="Y35" s="54"/>
      <c r="Z35" s="54"/>
      <c r="AA35" s="54"/>
      <c r="AB35" s="54"/>
      <c r="AC35" s="54"/>
      <c r="AD35" s="257"/>
    </row>
    <row r="36" spans="2:30" s="52" customFormat="1" ht="15" customHeight="1" x14ac:dyDescent="0.3">
      <c r="B36" s="256"/>
      <c r="C36" s="54"/>
      <c r="D36" s="271"/>
      <c r="E36" s="271" t="s">
        <v>321</v>
      </c>
      <c r="F36" s="515" t="s">
        <v>322</v>
      </c>
      <c r="G36" s="516"/>
      <c r="H36" s="516"/>
      <c r="I36" s="516"/>
      <c r="J36" s="516"/>
      <c r="K36" s="516"/>
      <c r="L36" s="463"/>
      <c r="M36" s="463"/>
      <c r="N36" s="74"/>
      <c r="O36" s="70"/>
      <c r="P36" s="54"/>
      <c r="Q36" s="54"/>
      <c r="R36" s="54"/>
      <c r="S36" s="54"/>
      <c r="T36" s="54"/>
      <c r="U36" s="54"/>
      <c r="V36" s="54"/>
      <c r="W36" s="54"/>
      <c r="X36" s="54"/>
      <c r="Y36" s="54"/>
      <c r="Z36" s="54"/>
      <c r="AA36" s="54"/>
      <c r="AB36" s="54"/>
      <c r="AC36" s="54"/>
      <c r="AD36" s="257"/>
    </row>
    <row r="37" spans="2:30" s="52" customFormat="1" ht="15" customHeight="1" x14ac:dyDescent="0.3">
      <c r="B37" s="256"/>
      <c r="C37" s="54"/>
      <c r="D37" s="111"/>
      <c r="E37" s="427"/>
      <c r="F37" s="427"/>
      <c r="G37" s="427"/>
      <c r="H37" s="427"/>
      <c r="I37" s="427"/>
      <c r="J37" s="427"/>
      <c r="K37" s="427"/>
      <c r="L37" s="427"/>
      <c r="M37" s="427"/>
      <c r="N37" s="74"/>
      <c r="O37" s="74"/>
      <c r="P37" s="54"/>
      <c r="Q37" s="54"/>
      <c r="R37" s="54"/>
      <c r="S37" s="54"/>
      <c r="T37" s="54"/>
      <c r="U37" s="54"/>
      <c r="V37" s="54"/>
      <c r="W37" s="54"/>
      <c r="X37" s="54"/>
      <c r="Y37" s="54"/>
      <c r="Z37" s="54"/>
      <c r="AA37" s="54"/>
      <c r="AB37" s="54"/>
      <c r="AC37" s="54"/>
      <c r="AD37" s="257"/>
    </row>
    <row r="38" spans="2:30" ht="15" customHeight="1" thickBot="1" x14ac:dyDescent="0.3">
      <c r="B38" s="163"/>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5"/>
    </row>
    <row r="39" spans="2:30" ht="15" customHeight="1" thickTop="1" x14ac:dyDescent="0.25"/>
  </sheetData>
  <sheetProtection sheet="1" autoFilter="0"/>
  <mergeCells count="15">
    <mergeCell ref="D16:AB16"/>
    <mergeCell ref="D15:AB15"/>
    <mergeCell ref="D17:AB17"/>
    <mergeCell ref="D3:J3"/>
    <mergeCell ref="D11:AB11"/>
    <mergeCell ref="D12:AB12"/>
    <mergeCell ref="D13:AB13"/>
    <mergeCell ref="D14:AB14"/>
    <mergeCell ref="F34:M34"/>
    <mergeCell ref="F36:K36"/>
    <mergeCell ref="F30:L30"/>
    <mergeCell ref="D18:AB18"/>
    <mergeCell ref="D24:AB24"/>
    <mergeCell ref="D26:AB26"/>
    <mergeCell ref="D28:AB28"/>
  </mergeCells>
  <hyperlinks>
    <hyperlink ref="F30" r:id="rId1"/>
    <hyperlink ref="F34" r:id="rId2"/>
    <hyperlink ref="F36" r:id="rId3" display="info@arbeidmarktplatformpo.nl "/>
    <hyperlink ref="F30:L30" r:id="rId4" display="Ga naar de handreiking "/>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4"/>
  <dimension ref="A1:AG48"/>
  <sheetViews>
    <sheetView workbookViewId="0">
      <selection activeCell="M10" sqref="M10"/>
    </sheetView>
  </sheetViews>
  <sheetFormatPr defaultColWidth="9" defaultRowHeight="15" customHeight="1" x14ac:dyDescent="0.2"/>
  <cols>
    <col min="1" max="1" width="12" style="359" bestFit="1" customWidth="1"/>
    <col min="2" max="2" width="2.7109375" style="359" bestFit="1" customWidth="1"/>
    <col min="3" max="4" width="6.7109375" style="359" customWidth="1"/>
    <col min="5" max="5" width="12.5703125" style="359" bestFit="1" customWidth="1"/>
    <col min="6" max="6" width="6.7109375" style="359" customWidth="1"/>
    <col min="7" max="7" width="4.7109375" style="359" customWidth="1"/>
    <col min="8" max="8" width="5" style="359" customWidth="1"/>
    <col min="9" max="9" width="33.140625" style="359" bestFit="1" customWidth="1"/>
    <col min="10" max="10" width="2.7109375" style="359" bestFit="1" customWidth="1"/>
    <col min="11" max="11" width="4.85546875" style="359" customWidth="1"/>
    <col min="12" max="12" width="5" style="359" bestFit="1" customWidth="1"/>
    <col min="13" max="13" width="5" style="359" customWidth="1"/>
    <col min="14" max="14" width="11.28515625" style="359" bestFit="1" customWidth="1"/>
    <col min="15" max="15" width="41.140625" style="359" bestFit="1" customWidth="1"/>
    <col min="16" max="16" width="12.42578125" style="359" bestFit="1" customWidth="1"/>
    <col min="17" max="17" width="19.28515625" style="359" bestFit="1" customWidth="1"/>
    <col min="18" max="18" width="15.5703125" style="359" customWidth="1"/>
    <col min="19" max="19" width="11.7109375" style="359" bestFit="1" customWidth="1"/>
    <col min="20" max="16384" width="9" style="359"/>
  </cols>
  <sheetData>
    <row r="1" spans="1:33" ht="15" customHeight="1" x14ac:dyDescent="0.3">
      <c r="A1" s="446" t="s">
        <v>296</v>
      </c>
    </row>
    <row r="2" spans="1:33" ht="15" customHeight="1" x14ac:dyDescent="0.3">
      <c r="A2" s="446"/>
      <c r="B2" s="365" t="s">
        <v>61</v>
      </c>
      <c r="E2" s="506">
        <f>'Tabellen PO-Raad'!B3</f>
        <v>2025</v>
      </c>
      <c r="F2" s="505" t="s">
        <v>386</v>
      </c>
      <c r="R2" s="355"/>
    </row>
    <row r="3" spans="1:33" ht="15" customHeight="1" x14ac:dyDescent="0.3">
      <c r="A3" s="446"/>
      <c r="B3" s="1" t="s">
        <v>89</v>
      </c>
      <c r="E3" s="447">
        <f>VLOOKUP(E2,N12:P21,3,FALSE)</f>
        <v>21186</v>
      </c>
      <c r="F3" s="359" t="s">
        <v>387</v>
      </c>
    </row>
    <row r="4" spans="1:33" ht="15" customHeight="1" x14ac:dyDescent="0.3">
      <c r="A4" s="446"/>
      <c r="B4"/>
      <c r="C4" s="503"/>
      <c r="D4" s="503"/>
      <c r="E4" s="503"/>
      <c r="F4" s="503"/>
      <c r="G4" s="503"/>
      <c r="H4" s="503"/>
    </row>
    <row r="5" spans="1:33" s="8" customFormat="1" ht="12" x14ac:dyDescent="0.2">
      <c r="A5" s="355"/>
      <c r="B5" s="355"/>
      <c r="C5" s="355" t="s">
        <v>385</v>
      </c>
      <c r="D5" s="449"/>
      <c r="E5" s="355"/>
      <c r="F5" s="355"/>
      <c r="G5" s="355"/>
      <c r="H5" s="355"/>
      <c r="I5" s="355" t="s">
        <v>300</v>
      </c>
      <c r="J5" s="355"/>
      <c r="K5" s="355"/>
      <c r="L5" s="355"/>
      <c r="M5" s="355"/>
      <c r="O5" s="22" t="s">
        <v>301</v>
      </c>
      <c r="P5" s="356"/>
      <c r="Q5" s="21"/>
      <c r="R5" s="21"/>
      <c r="S5" s="23"/>
      <c r="T5" s="23"/>
      <c r="U5" s="23"/>
      <c r="V5" s="23"/>
      <c r="W5" s="23"/>
      <c r="X5" s="23"/>
      <c r="Y5" s="23"/>
      <c r="Z5" s="23"/>
      <c r="AA5" s="23"/>
      <c r="AB5" s="23"/>
      <c r="AC5" s="23"/>
      <c r="AD5" s="23"/>
      <c r="AE5" s="23"/>
      <c r="AF5" s="23"/>
      <c r="AG5" s="23"/>
    </row>
    <row r="6" spans="1:33" s="8" customFormat="1" ht="15" customHeight="1" x14ac:dyDescent="0.2">
      <c r="A6" s="355"/>
      <c r="B6" s="357"/>
      <c r="C6" s="444" t="s">
        <v>110</v>
      </c>
      <c r="D6" s="444"/>
      <c r="E6" s="444" t="s">
        <v>111</v>
      </c>
      <c r="F6" s="357"/>
      <c r="G6"/>
      <c r="H6"/>
      <c r="I6" s="363" t="s">
        <v>145</v>
      </c>
      <c r="J6" s="355"/>
      <c r="K6" s="355"/>
      <c r="L6" s="362"/>
      <c r="M6" s="362"/>
      <c r="N6" s="451" t="s">
        <v>304</v>
      </c>
      <c r="O6" s="362" t="s">
        <v>196</v>
      </c>
      <c r="P6" s="450" t="s">
        <v>205</v>
      </c>
      <c r="Q6" s="362" t="s">
        <v>89</v>
      </c>
      <c r="R6" s="362" t="s">
        <v>303</v>
      </c>
      <c r="S6" s="569" t="s">
        <v>388</v>
      </c>
      <c r="T6" s="570"/>
      <c r="U6" s="570"/>
      <c r="V6" s="23"/>
      <c r="W6" s="23"/>
      <c r="X6" s="23"/>
      <c r="Y6" s="23"/>
      <c r="Z6" s="23"/>
      <c r="AA6" s="23"/>
      <c r="AB6" s="23"/>
      <c r="AC6" s="23"/>
      <c r="AD6" s="23"/>
      <c r="AE6" s="23"/>
      <c r="AF6" s="23"/>
      <c r="AG6" s="23"/>
    </row>
    <row r="7" spans="1:33" s="8" customFormat="1" ht="15" customHeight="1" x14ac:dyDescent="0.2">
      <c r="B7" s="357"/>
      <c r="C7" s="444" t="s">
        <v>291</v>
      </c>
      <c r="D7" s="444" t="s">
        <v>292</v>
      </c>
      <c r="E7" s="444" t="s">
        <v>291</v>
      </c>
      <c r="F7" s="444" t="s">
        <v>292</v>
      </c>
      <c r="G7"/>
      <c r="H7"/>
      <c r="I7" s="8" t="s">
        <v>146</v>
      </c>
      <c r="J7" s="8">
        <v>1</v>
      </c>
      <c r="K7"/>
      <c r="N7" s="499">
        <v>2020</v>
      </c>
      <c r="O7" s="499" t="s">
        <v>197</v>
      </c>
      <c r="P7" s="500">
        <v>19603</v>
      </c>
      <c r="Q7" s="499" t="s">
        <v>207</v>
      </c>
      <c r="R7" s="499">
        <v>16</v>
      </c>
      <c r="S7" s="570"/>
      <c r="T7" s="570"/>
      <c r="U7" s="570"/>
      <c r="V7" s="23"/>
      <c r="W7" s="23"/>
      <c r="X7" s="23"/>
      <c r="Y7" s="23"/>
      <c r="Z7" s="23"/>
      <c r="AA7" s="23"/>
      <c r="AB7" s="23"/>
      <c r="AC7" s="23"/>
      <c r="AD7" s="23"/>
      <c r="AE7" s="23"/>
      <c r="AF7" s="23"/>
      <c r="AG7" s="23"/>
    </row>
    <row r="8" spans="1:33" s="1" customFormat="1" ht="15" customHeight="1" x14ac:dyDescent="0.2">
      <c r="A8" s="442" t="s">
        <v>277</v>
      </c>
      <c r="B8" s="441">
        <v>-3</v>
      </c>
      <c r="C8" s="441" t="str">
        <f>IF(COUNTIF($C$29:$G$29,'Invoer gegevens'!$E$23)&gt;0,IF(VLOOKUP('Invoer gegevens'!$E$23,'Tabellen PO-Raad'!$A$82:$W$114,22,FALSE)&gt;=$B8,HLOOKUP('Invoer gegevens'!$E$23,$C$29:$G$33,2,FALSE),""),"")</f>
        <v/>
      </c>
      <c r="D8" s="441" t="str">
        <f>IF(COUNTIF($C$29:$G$29,'Invoer gegevens'!$F$23)&gt;0,IF(VLOOKUP('Invoer gegevens'!$F$23,'Tabellen PO-Raad'!$A$82:$W$114,22,FALSE)&gt;=$B8,HLOOKUP('Invoer gegevens'!$F$23,$C$29:$G$33,2,FALSE),""),"")</f>
        <v/>
      </c>
      <c r="E8" s="441" t="str">
        <f>IF(COUNTIF($C$29:$G$29,'Invoer gegevens'!$M$23)&gt;0,IF(VLOOKUP('Invoer gegevens'!$M$23,'Tabellen PO-Raad'!$A$82:$W$114,22,FALSE)&gt;=$B8,HLOOKUP('Invoer gegevens'!$M$23,$C$29:$G$33,2,FALSE),""),"")</f>
        <v/>
      </c>
      <c r="F8" s="441" t="str">
        <f>IF(COUNTIF($C$29:$G$29,'Invoer gegevens'!$N$23)&gt;0,IF(VLOOKUP('Invoer gegevens'!$N$23,'Tabellen PO-Raad'!$A$82:$W$114,22,FALSE)&gt;=$B8,HLOOKUP('Invoer gegevens'!$N$23,$C$29:$G$33,2,FALSE),""),"")</f>
        <v/>
      </c>
      <c r="G8"/>
      <c r="H8"/>
      <c r="I8" s="1" t="s">
        <v>147</v>
      </c>
      <c r="J8" s="1">
        <v>2</v>
      </c>
      <c r="K8"/>
      <c r="N8" s="499">
        <v>2021</v>
      </c>
      <c r="O8" s="499" t="s">
        <v>198</v>
      </c>
      <c r="P8" s="501">
        <v>19968</v>
      </c>
      <c r="Q8" s="499" t="s">
        <v>207</v>
      </c>
      <c r="R8" s="499">
        <v>16</v>
      </c>
      <c r="S8" s="570"/>
      <c r="T8" s="570"/>
      <c r="U8" s="570"/>
      <c r="V8" s="2"/>
      <c r="W8" s="2"/>
      <c r="X8" s="2"/>
      <c r="Y8" s="2"/>
      <c r="Z8" s="2"/>
      <c r="AA8" s="2"/>
      <c r="AB8" s="2"/>
      <c r="AC8" s="2"/>
      <c r="AD8" s="2"/>
      <c r="AE8" s="2"/>
      <c r="AF8" s="2"/>
      <c r="AG8" s="2"/>
    </row>
    <row r="9" spans="1:33" s="1" customFormat="1" ht="15" customHeight="1" x14ac:dyDescent="0.2">
      <c r="A9" s="9" t="s">
        <v>278</v>
      </c>
      <c r="B9" s="445">
        <f t="shared" ref="B9:B27" si="0">B8+1</f>
        <v>-2</v>
      </c>
      <c r="C9" s="441" t="str">
        <f>IF(COUNTIF($C$29:$G$29,'Invoer gegevens'!$E$23)&gt;0,IF(VLOOKUP('Invoer gegevens'!$E$23,'Tabellen PO-Raad'!$A$82:$W$114,22,FALSE)&gt;=$B9,HLOOKUP('Invoer gegevens'!$E$23,$C$29:$G$33,3,FALSE),""),"")</f>
        <v/>
      </c>
      <c r="D9" s="441" t="str">
        <f>IF(COUNTIF($C$29:$G$29,'Invoer gegevens'!$F$23)&gt;0,IF(VLOOKUP('Invoer gegevens'!$F$23,'Tabellen PO-Raad'!$A$82:$W$114,22,FALSE)&gt;=$B9,HLOOKUP('Invoer gegevens'!$F$23,$C$29:$G$33,3,FALSE),""),"")</f>
        <v/>
      </c>
      <c r="E9" s="441" t="str">
        <f>IF(COUNTIF($C$29:$G$29,'Invoer gegevens'!$M$23)&gt;0,IF(VLOOKUP('Invoer gegevens'!$M$23,'Tabellen PO-Raad'!$A$82:$W$114,22,FALSE)&gt;=$B9,HLOOKUP('Invoer gegevens'!$M$23,$C$29:$G$33,3,FALSE),""),"")</f>
        <v/>
      </c>
      <c r="F9" s="441" t="str">
        <f>IF(COUNTIF($C$29:$G$29,'Invoer gegevens'!$N$23)&gt;0,IF(VLOOKUP('Invoer gegevens'!$N$23,'Tabellen PO-Raad'!$A$82:$W$114,22,FALSE)&gt;=$B9,HLOOKUP('Invoer gegevens'!$N$23,$C$29:$G$33,3,FALSE),""),"")</f>
        <v/>
      </c>
      <c r="G9"/>
      <c r="H9"/>
      <c r="I9" s="1" t="s">
        <v>148</v>
      </c>
      <c r="J9" s="1">
        <v>3</v>
      </c>
      <c r="K9"/>
      <c r="N9" s="499">
        <v>2022</v>
      </c>
      <c r="O9" s="499" t="s">
        <v>199</v>
      </c>
      <c r="P9" s="501">
        <v>20333</v>
      </c>
      <c r="Q9" s="499" t="s">
        <v>208</v>
      </c>
      <c r="R9" s="499">
        <v>19</v>
      </c>
      <c r="S9" s="570"/>
      <c r="T9" s="570"/>
      <c r="U9" s="570"/>
      <c r="V9" s="2"/>
      <c r="W9" s="2"/>
      <c r="X9" s="2"/>
      <c r="Y9" s="2"/>
      <c r="Z9" s="2"/>
      <c r="AA9" s="2"/>
      <c r="AB9" s="2"/>
      <c r="AC9" s="2"/>
      <c r="AD9" s="2"/>
      <c r="AE9" s="2"/>
      <c r="AF9" s="2"/>
      <c r="AG9" s="2"/>
    </row>
    <row r="10" spans="1:33" s="1" customFormat="1" ht="15" customHeight="1" x14ac:dyDescent="0.2">
      <c r="A10" s="9" t="s">
        <v>279</v>
      </c>
      <c r="B10" s="445">
        <f t="shared" si="0"/>
        <v>-1</v>
      </c>
      <c r="C10" s="441" t="str">
        <f>IF(COUNTIF($C$29:$G$29,'Invoer gegevens'!$E$23)&gt;0,IF(VLOOKUP('Invoer gegevens'!$E$23,'Tabellen PO-Raad'!$A$82:$W$114,22,FALSE)&gt;=$B10,HLOOKUP('Invoer gegevens'!$E$23,$C$29:$G$33,4,FALSE),""),"")</f>
        <v/>
      </c>
      <c r="D10" s="441" t="str">
        <f>IF(COUNTIF($C$29:$G$29,'Invoer gegevens'!$F$23)&gt;0,IF(VLOOKUP('Invoer gegevens'!$F$23,'Tabellen PO-Raad'!$A$82:$W$114,22,FALSE)&gt;=$B10,HLOOKUP('Invoer gegevens'!$F$23,$C$29:$G$33,4,FALSE),""),"")</f>
        <v/>
      </c>
      <c r="E10" s="441" t="str">
        <f>IF(COUNTIF($C$29:$G$29,'Invoer gegevens'!$M$23)&gt;0,IF(VLOOKUP('Invoer gegevens'!$M$23,'Tabellen PO-Raad'!$A$82:$W$114,22,FALSE)&gt;=$B10,HLOOKUP('Invoer gegevens'!$M$23,$C$29:$G$33,4,FALSE),""),"")</f>
        <v/>
      </c>
      <c r="F10" s="441" t="str">
        <f>IF(COUNTIF($C$29:$G$29,'Invoer gegevens'!$N$23)&gt;0,IF(VLOOKUP('Invoer gegevens'!$N$23,'Tabellen PO-Raad'!$A$82:$W$114,22,FALSE)&gt;=$B10,HLOOKUP('Invoer gegevens'!$N$23,$C$29:$G$33,4,FALSE),""),"")</f>
        <v/>
      </c>
      <c r="G10"/>
      <c r="H10"/>
      <c r="I10" s="1" t="s">
        <v>149</v>
      </c>
      <c r="J10" s="1">
        <v>4</v>
      </c>
      <c r="K10"/>
      <c r="N10" s="499">
        <v>2023</v>
      </c>
      <c r="O10" s="499" t="s">
        <v>200</v>
      </c>
      <c r="P10" s="501">
        <v>20607</v>
      </c>
      <c r="Q10" s="499" t="s">
        <v>209</v>
      </c>
      <c r="R10" s="499">
        <v>20</v>
      </c>
      <c r="S10" s="570"/>
      <c r="T10" s="570"/>
      <c r="U10" s="570"/>
      <c r="V10" s="2"/>
      <c r="W10" s="2"/>
      <c r="X10" s="2"/>
      <c r="Y10" s="2"/>
      <c r="Z10" s="2"/>
      <c r="AA10" s="2"/>
      <c r="AB10" s="2"/>
      <c r="AC10" s="2"/>
      <c r="AD10" s="2"/>
      <c r="AE10" s="2"/>
      <c r="AF10" s="2"/>
      <c r="AG10" s="2"/>
    </row>
    <row r="11" spans="1:33" s="1" customFormat="1" ht="15" customHeight="1" x14ac:dyDescent="0.2">
      <c r="A11" s="443" t="s">
        <v>280</v>
      </c>
      <c r="B11" s="445">
        <f t="shared" si="0"/>
        <v>0</v>
      </c>
      <c r="C11" s="441" t="str">
        <f>IF(COUNTIF($C$29:$G$29,'Invoer gegevens'!$E$23)&gt;0,IF(VLOOKUP('Invoer gegevens'!$E$23,'Tabellen PO-Raad'!$A$82:$W$114,22,FALSE)&gt;=$B11,HLOOKUP('Invoer gegevens'!$E$23,$C$29:$G$33,5,FALSE),""),"")</f>
        <v/>
      </c>
      <c r="D11" s="441" t="str">
        <f>IF(COUNTIF($C$29:$G$29,'Invoer gegevens'!$F$23)&gt;0,IF(VLOOKUP('Invoer gegevens'!$F$23,'Tabellen PO-Raad'!$A$82:$W$114,22,FALSE)&gt;=$B11,HLOOKUP('Invoer gegevens'!$F$23,$C$29:$G$33,5,FALSE),""),"")</f>
        <v/>
      </c>
      <c r="E11" s="441" t="str">
        <f>IF(COUNTIF($C$29:$G$29,'Invoer gegevens'!$M$23)&gt;0,IF(VLOOKUP('Invoer gegevens'!$M$23,'Tabellen PO-Raad'!$A$82:$W$114,22,FALSE)&gt;=$B11,HLOOKUP('Invoer gegevens'!$M$23,$C$29:$G$33,5,FALSE),""),"")</f>
        <v/>
      </c>
      <c r="F11" s="441" t="str">
        <f>IF(COUNTIF($C$29:$G$29,'Invoer gegevens'!$N$23)&gt;0,IF(VLOOKUP('Invoer gegevens'!$N$23,'Tabellen PO-Raad'!$A$82:$W$114,22,FALSE)&gt;=$B11,HLOOKUP('Invoer gegevens'!$N$23,$C$29:$G$33,5,FALSE),""),"")</f>
        <v/>
      </c>
      <c r="G11"/>
      <c r="H11"/>
      <c r="I11" s="1" t="s">
        <v>150</v>
      </c>
      <c r="J11" s="1">
        <v>5</v>
      </c>
      <c r="K11"/>
      <c r="N11" s="499">
        <v>2024</v>
      </c>
      <c r="O11" s="499" t="s">
        <v>202</v>
      </c>
      <c r="P11" s="501">
        <v>20880</v>
      </c>
      <c r="Q11" s="499" t="s">
        <v>201</v>
      </c>
      <c r="R11" s="499">
        <v>24</v>
      </c>
      <c r="S11" s="570"/>
      <c r="T11" s="570"/>
      <c r="U11" s="570"/>
      <c r="V11" s="2"/>
      <c r="W11" s="2"/>
      <c r="X11" s="2"/>
      <c r="Y11" s="2"/>
      <c r="Z11" s="2"/>
      <c r="AA11" s="2"/>
      <c r="AB11" s="2"/>
      <c r="AC11" s="2"/>
      <c r="AD11" s="2"/>
      <c r="AE11" s="2"/>
      <c r="AF11" s="2"/>
      <c r="AG11" s="2"/>
    </row>
    <row r="12" spans="1:33" s="1" customFormat="1" ht="15" customHeight="1" x14ac:dyDescent="0.2">
      <c r="B12" s="445">
        <f t="shared" si="0"/>
        <v>1</v>
      </c>
      <c r="C12" s="441">
        <f>IF(VLOOKUP('Invoer gegevens'!$E$23,'Tabellen PO-Raad'!$A$82:$W$114,22,FALSE)&gt;=$B12,$B12,"")</f>
        <v>1</v>
      </c>
      <c r="D12" s="441">
        <f>IF(VLOOKUP('Invoer gegevens'!$F$23,'Tabellen PO-Raad'!$A$82:$W$114,22,FALSE)&gt;=$B12,$B12,"")</f>
        <v>1</v>
      </c>
      <c r="E12" s="441">
        <f>IF(VLOOKUP('Invoer gegevens'!$M$23,'Tabellen PO-Raad'!$A$82:$W$113,22,FALSE)&gt;=$B12,$B12,"")</f>
        <v>1</v>
      </c>
      <c r="F12" s="441">
        <f>IF(VLOOKUP('Invoer gegevens'!$N$23,'Tabellen PO-Raad'!$A$82:$W$114,22,FALSE)&gt;=$B12,$B12,"")</f>
        <v>1</v>
      </c>
      <c r="G12"/>
      <c r="H12"/>
      <c r="I12" s="1" t="s">
        <v>151</v>
      </c>
      <c r="J12" s="1">
        <v>6</v>
      </c>
      <c r="K12"/>
      <c r="N12" s="358">
        <v>2025</v>
      </c>
      <c r="O12" s="358" t="s">
        <v>203</v>
      </c>
      <c r="P12" s="137">
        <v>21186</v>
      </c>
      <c r="Q12" s="358" t="s">
        <v>201</v>
      </c>
      <c r="R12" s="358">
        <v>24</v>
      </c>
      <c r="S12" s="570"/>
      <c r="T12" s="570"/>
      <c r="U12" s="570"/>
      <c r="V12" s="2"/>
      <c r="W12" s="2"/>
      <c r="X12" s="2"/>
      <c r="Y12" s="2"/>
      <c r="Z12" s="2"/>
      <c r="AA12" s="2"/>
      <c r="AB12" s="2"/>
      <c r="AC12" s="2"/>
      <c r="AD12" s="2"/>
      <c r="AE12" s="2"/>
      <c r="AF12" s="2"/>
      <c r="AG12" s="2"/>
    </row>
    <row r="13" spans="1:33" s="1" customFormat="1" ht="15" customHeight="1" x14ac:dyDescent="0.2">
      <c r="A13" s="1" t="s">
        <v>112</v>
      </c>
      <c r="B13" s="445">
        <f t="shared" si="0"/>
        <v>2</v>
      </c>
      <c r="C13" s="441">
        <f>IF(VLOOKUP('Invoer gegevens'!$E$23,'Tabellen PO-Raad'!$A$82:$W$114,22,FALSE)&gt;=$B13,$B13,"")</f>
        <v>2</v>
      </c>
      <c r="D13" s="441">
        <f>IF(VLOOKUP('Invoer gegevens'!$F$23,'Tabellen PO-Raad'!$A$82:$W$114,22,FALSE)&gt;=$B13,$B13,"")</f>
        <v>2</v>
      </c>
      <c r="E13" s="441">
        <f>IF(VLOOKUP('Invoer gegevens'!$M$23,'Tabellen PO-Raad'!$A$82:$W$114,22,FALSE)&gt;=$B13,$B13,"")</f>
        <v>2</v>
      </c>
      <c r="F13" s="441">
        <f>IF(VLOOKUP('Invoer gegevens'!$N$23,'Tabellen PO-Raad'!$A$82:$W$114,22,FALSE)&gt;=$B13,$B13,"")</f>
        <v>2</v>
      </c>
      <c r="G13"/>
      <c r="H13"/>
      <c r="I13" s="1" t="s">
        <v>152</v>
      </c>
      <c r="J13" s="1">
        <v>7</v>
      </c>
      <c r="K13"/>
      <c r="N13" s="358">
        <v>2026</v>
      </c>
      <c r="O13" s="358" t="s">
        <v>204</v>
      </c>
      <c r="P13" s="137">
        <v>21551</v>
      </c>
      <c r="Q13" s="358" t="s">
        <v>201</v>
      </c>
      <c r="R13" s="358">
        <v>24</v>
      </c>
      <c r="S13" s="570"/>
      <c r="T13" s="570"/>
      <c r="U13" s="570"/>
      <c r="V13" s="2"/>
      <c r="W13" s="2"/>
      <c r="X13" s="2"/>
      <c r="Y13" s="2"/>
      <c r="Z13" s="2"/>
      <c r="AA13" s="2"/>
      <c r="AB13" s="2"/>
      <c r="AC13" s="2"/>
      <c r="AD13" s="2"/>
      <c r="AE13" s="2"/>
      <c r="AF13" s="2"/>
      <c r="AG13" s="2"/>
    </row>
    <row r="14" spans="1:33" s="1" customFormat="1" ht="15" customHeight="1" x14ac:dyDescent="0.2">
      <c r="B14" s="445">
        <f t="shared" si="0"/>
        <v>3</v>
      </c>
      <c r="C14" s="441">
        <f>IF(VLOOKUP('Invoer gegevens'!$E$23,'Tabellen PO-Raad'!$A$82:$W$114,22,FALSE)&gt;=$B14,$B14,"")</f>
        <v>3</v>
      </c>
      <c r="D14" s="441">
        <f>IF(VLOOKUP('Invoer gegevens'!$F$23,'Tabellen PO-Raad'!$A$82:$W$114,22,FALSE)&gt;=$B14,$B14,"")</f>
        <v>3</v>
      </c>
      <c r="E14" s="441">
        <f>IF(VLOOKUP('Invoer gegevens'!$M$23,'Tabellen PO-Raad'!$A$82:$W$114,22,FALSE)&gt;=$B14,$B14,"")</f>
        <v>3</v>
      </c>
      <c r="F14" s="441">
        <f>IF(VLOOKUP('Invoer gegevens'!$N$23,'Tabellen PO-Raad'!$A$82:$W$114,22,FALSE)&gt;=$B14,$B14,"")</f>
        <v>3</v>
      </c>
      <c r="G14"/>
      <c r="H14"/>
      <c r="I14" s="1" t="s">
        <v>153</v>
      </c>
      <c r="J14" s="1">
        <v>8</v>
      </c>
      <c r="K14"/>
      <c r="N14" s="358">
        <f>N13+1</f>
        <v>2027</v>
      </c>
      <c r="O14" s="358" t="s">
        <v>369</v>
      </c>
      <c r="P14" s="137">
        <v>21916</v>
      </c>
      <c r="Q14" s="358" t="s">
        <v>377</v>
      </c>
      <c r="R14" s="358">
        <v>24</v>
      </c>
      <c r="S14" s="570"/>
      <c r="T14" s="570"/>
      <c r="U14" s="570"/>
      <c r="V14" s="2"/>
      <c r="W14" s="2"/>
      <c r="X14" s="2"/>
      <c r="Y14" s="2"/>
      <c r="Z14" s="2"/>
      <c r="AA14" s="2"/>
      <c r="AB14" s="2"/>
      <c r="AC14" s="2"/>
      <c r="AD14" s="2"/>
      <c r="AE14" s="2"/>
      <c r="AF14" s="2"/>
      <c r="AG14" s="2"/>
    </row>
    <row r="15" spans="1:33" s="1" customFormat="1" ht="15" customHeight="1" x14ac:dyDescent="0.2">
      <c r="B15" s="445">
        <f t="shared" si="0"/>
        <v>4</v>
      </c>
      <c r="C15" s="441">
        <f>IF(VLOOKUP('Invoer gegevens'!$E$23,'Tabellen PO-Raad'!$A$82:$W$114,22,FALSE)&gt;=$B15,$B15,"")</f>
        <v>4</v>
      </c>
      <c r="D15" s="441">
        <f>IF(VLOOKUP('Invoer gegevens'!$F$23,'Tabellen PO-Raad'!$A$82:$W$114,22,FALSE)&gt;=$B15,$B15,"")</f>
        <v>4</v>
      </c>
      <c r="E15" s="441">
        <f>IF(VLOOKUP('Invoer gegevens'!$M$23,'Tabellen PO-Raad'!$A$82:$W$114,22,FALSE)&gt;=$B15,$B15,"")</f>
        <v>4</v>
      </c>
      <c r="F15" s="441">
        <f>IF(VLOOKUP('Invoer gegevens'!$N$23,'Tabellen PO-Raad'!$A$82:$W$114,22,FALSE)&gt;=$B15,$B15,"")</f>
        <v>4</v>
      </c>
      <c r="G15"/>
      <c r="H15"/>
      <c r="N15" s="358">
        <f t="shared" ref="N15:N21" si="1">N14+1</f>
        <v>2028</v>
      </c>
      <c r="O15" s="358" t="s">
        <v>370</v>
      </c>
      <c r="P15" s="137">
        <v>22282</v>
      </c>
      <c r="Q15" s="358" t="s">
        <v>378</v>
      </c>
      <c r="R15" s="358">
        <v>24</v>
      </c>
      <c r="S15" s="570"/>
      <c r="T15" s="570"/>
      <c r="U15" s="570"/>
      <c r="V15" s="2"/>
      <c r="W15" s="2"/>
      <c r="X15" s="2"/>
      <c r="Y15" s="2"/>
      <c r="Z15" s="2"/>
      <c r="AA15" s="2"/>
      <c r="AB15" s="2"/>
      <c r="AC15" s="2"/>
      <c r="AD15" s="2"/>
      <c r="AE15" s="2"/>
      <c r="AF15" s="2"/>
      <c r="AG15" s="2"/>
    </row>
    <row r="16" spans="1:33" s="1" customFormat="1" ht="15" customHeight="1" x14ac:dyDescent="0.2">
      <c r="B16" s="445">
        <f t="shared" si="0"/>
        <v>5</v>
      </c>
      <c r="C16" s="441">
        <f>IF(VLOOKUP('Invoer gegevens'!$E$23,'Tabellen PO-Raad'!$A$82:$W$114,22,FALSE)&gt;=$B16,$B16,"")</f>
        <v>5</v>
      </c>
      <c r="D16" s="441">
        <f>IF(VLOOKUP('Invoer gegevens'!$F$23,'Tabellen PO-Raad'!$A$82:$W$114,22,FALSE)&gt;=$B16,$B16,"")</f>
        <v>5</v>
      </c>
      <c r="E16" s="441">
        <f>IF(VLOOKUP('Invoer gegevens'!$M$23,'Tabellen PO-Raad'!$A$82:$W$114,22,FALSE)&gt;=$B16,$B16,"")</f>
        <v>5</v>
      </c>
      <c r="F16" s="441">
        <f>IF(VLOOKUP('Invoer gegevens'!$N$23,'Tabellen PO-Raad'!$A$82:$W$114,22,FALSE)&gt;=$B16,$B16,"")</f>
        <v>5</v>
      </c>
      <c r="G16"/>
      <c r="H16"/>
      <c r="I16" s="1" t="s">
        <v>328</v>
      </c>
      <c r="K16"/>
      <c r="N16" s="358">
        <f t="shared" si="1"/>
        <v>2029</v>
      </c>
      <c r="O16" s="358" t="s">
        <v>371</v>
      </c>
      <c r="P16" s="137">
        <v>22647</v>
      </c>
      <c r="Q16" s="358" t="s">
        <v>379</v>
      </c>
      <c r="R16" s="358">
        <v>24</v>
      </c>
      <c r="S16" s="570"/>
      <c r="T16" s="570"/>
      <c r="U16" s="570"/>
      <c r="V16" s="2"/>
      <c r="W16" s="2"/>
      <c r="X16" s="2"/>
      <c r="Y16" s="2"/>
      <c r="Z16" s="2"/>
      <c r="AA16" s="2"/>
      <c r="AB16" s="2"/>
      <c r="AC16" s="2"/>
      <c r="AD16" s="2"/>
      <c r="AE16" s="2"/>
      <c r="AF16" s="2"/>
      <c r="AG16" s="2"/>
    </row>
    <row r="17" spans="1:33" s="1" customFormat="1" ht="15" customHeight="1" x14ac:dyDescent="0.2">
      <c r="B17" s="445">
        <f t="shared" si="0"/>
        <v>6</v>
      </c>
      <c r="C17" s="441">
        <f>IF(VLOOKUP('Invoer gegevens'!$E$23,'Tabellen PO-Raad'!$A$82:$W$114,22,FALSE)&gt;=$B17,$B17,"")</f>
        <v>6</v>
      </c>
      <c r="D17" s="441">
        <f>IF(VLOOKUP('Invoer gegevens'!$F$23,'Tabellen PO-Raad'!$A$82:$W$114,22,FALSE)&gt;=$B17,$B17,"")</f>
        <v>6</v>
      </c>
      <c r="E17" s="441">
        <f>IF(VLOOKUP('Invoer gegevens'!$M$23,'Tabellen PO-Raad'!$A$82:$W$114,22,FALSE)&gt;=$B17,$B17,"")</f>
        <v>6</v>
      </c>
      <c r="F17" s="441">
        <f>IF(VLOOKUP('Invoer gegevens'!$N$23,'Tabellen PO-Raad'!$A$82:$W$114,22,FALSE)&gt;=$B17,$B17,"")</f>
        <v>6</v>
      </c>
      <c r="G17"/>
      <c r="H17"/>
      <c r="I17" s="1" t="s">
        <v>171</v>
      </c>
      <c r="J17" s="1">
        <v>1</v>
      </c>
      <c r="K17"/>
      <c r="N17" s="358">
        <f t="shared" si="1"/>
        <v>2030</v>
      </c>
      <c r="O17" s="358" t="s">
        <v>372</v>
      </c>
      <c r="P17" s="137">
        <v>23012</v>
      </c>
      <c r="Q17" s="358" t="s">
        <v>380</v>
      </c>
      <c r="R17" s="358">
        <v>24</v>
      </c>
      <c r="S17" s="570"/>
      <c r="T17" s="570"/>
      <c r="U17" s="570"/>
      <c r="V17" s="2"/>
      <c r="W17" s="2"/>
      <c r="X17" s="2"/>
      <c r="Y17" s="2"/>
      <c r="Z17" s="2"/>
      <c r="AA17" s="2"/>
      <c r="AB17" s="2"/>
      <c r="AC17" s="2"/>
      <c r="AD17" s="2"/>
      <c r="AE17" s="2"/>
      <c r="AF17" s="2"/>
      <c r="AG17" s="2"/>
    </row>
    <row r="18" spans="1:33" s="1" customFormat="1" ht="15" customHeight="1" x14ac:dyDescent="0.2">
      <c r="B18" s="445">
        <f t="shared" si="0"/>
        <v>7</v>
      </c>
      <c r="C18" s="441">
        <f>IF(VLOOKUP('Invoer gegevens'!$E$23,'Tabellen PO-Raad'!$A$82:$W$114,22,FALSE)&gt;=$B18,$B18,"")</f>
        <v>7</v>
      </c>
      <c r="D18" s="441">
        <f>IF(VLOOKUP('Invoer gegevens'!$F$23,'Tabellen PO-Raad'!$A$82:$W$114,22,FALSE)&gt;=$B18,$B18,"")</f>
        <v>7</v>
      </c>
      <c r="E18" s="441">
        <f>IF(VLOOKUP('Invoer gegevens'!$M$23,'Tabellen PO-Raad'!$A$82:$W$114,22,FALSE)&gt;=$B18,$B18,"")</f>
        <v>7</v>
      </c>
      <c r="F18" s="441">
        <f>IF(VLOOKUP('Invoer gegevens'!$N$23,'Tabellen PO-Raad'!$A$82:$W$114,22,FALSE)&gt;=$B18,$B18,"")</f>
        <v>7</v>
      </c>
      <c r="G18"/>
      <c r="H18"/>
      <c r="I18" s="1" t="s">
        <v>172</v>
      </c>
      <c r="J18" s="1">
        <f>J17+1</f>
        <v>2</v>
      </c>
      <c r="K18"/>
      <c r="N18" s="358">
        <f t="shared" si="1"/>
        <v>2031</v>
      </c>
      <c r="O18" s="358" t="s">
        <v>373</v>
      </c>
      <c r="P18" s="137">
        <v>23377</v>
      </c>
      <c r="Q18" s="358" t="s">
        <v>381</v>
      </c>
      <c r="R18" s="358">
        <v>24</v>
      </c>
      <c r="S18" s="570"/>
      <c r="T18" s="570"/>
      <c r="U18" s="570"/>
      <c r="V18" s="2"/>
      <c r="W18" s="2"/>
      <c r="X18" s="2"/>
      <c r="Y18" s="2"/>
      <c r="Z18" s="2"/>
      <c r="AA18" s="2"/>
      <c r="AB18" s="2"/>
      <c r="AC18" s="2"/>
      <c r="AD18" s="2"/>
      <c r="AE18" s="2"/>
      <c r="AF18" s="2"/>
      <c r="AG18" s="2"/>
    </row>
    <row r="19" spans="1:33" s="1" customFormat="1" ht="15" customHeight="1" x14ac:dyDescent="0.2">
      <c r="A19"/>
      <c r="B19" s="445">
        <f t="shared" si="0"/>
        <v>8</v>
      </c>
      <c r="C19" s="441">
        <f>IF(VLOOKUP('Invoer gegevens'!$E$23,'Tabellen PO-Raad'!$A$82:$W$114,22,FALSE)&gt;=$B19,$B19,"")</f>
        <v>8</v>
      </c>
      <c r="D19" s="441">
        <f>IF(VLOOKUP('Invoer gegevens'!$F$23,'Tabellen PO-Raad'!$A$82:$W$114,22,FALSE)&gt;=$B19,$B19,"")</f>
        <v>8</v>
      </c>
      <c r="E19" s="441">
        <f>IF(VLOOKUP('Invoer gegevens'!$M$23,'Tabellen PO-Raad'!$A$82:$W$114,22,FALSE)&gt;=$B19,$B19,"")</f>
        <v>8</v>
      </c>
      <c r="F19" s="441">
        <f>IF(VLOOKUP('Invoer gegevens'!$N$23,'Tabellen PO-Raad'!$A$82:$W$114,22,FALSE)&gt;=$B19,$B19,"")</f>
        <v>8</v>
      </c>
      <c r="G19"/>
      <c r="H19"/>
      <c r="I19" s="1" t="s">
        <v>173</v>
      </c>
      <c r="J19" s="1">
        <f t="shared" ref="J19:J28" si="2">J18+1</f>
        <v>3</v>
      </c>
      <c r="K19"/>
      <c r="N19" s="358">
        <f t="shared" si="1"/>
        <v>2032</v>
      </c>
      <c r="O19" s="358" t="s">
        <v>374</v>
      </c>
      <c r="P19" s="137">
        <v>23743</v>
      </c>
      <c r="Q19" s="358" t="s">
        <v>382</v>
      </c>
      <c r="R19" s="358">
        <v>24</v>
      </c>
      <c r="S19" s="570"/>
      <c r="T19" s="570"/>
      <c r="U19" s="570"/>
      <c r="V19" s="2"/>
      <c r="W19" s="2"/>
      <c r="X19" s="2"/>
      <c r="Y19" s="2"/>
      <c r="Z19" s="2"/>
      <c r="AA19" s="2"/>
      <c r="AB19" s="2"/>
      <c r="AC19" s="2"/>
      <c r="AD19" s="2"/>
      <c r="AE19" s="2"/>
      <c r="AF19" s="2"/>
      <c r="AG19" s="2"/>
    </row>
    <row r="20" spans="1:33" s="1" customFormat="1" ht="15" customHeight="1" x14ac:dyDescent="0.2">
      <c r="B20" s="445">
        <f t="shared" si="0"/>
        <v>9</v>
      </c>
      <c r="C20" s="441">
        <f>IF(VLOOKUP('Invoer gegevens'!$E$23,'Tabellen PO-Raad'!$A$82:$W$114,22,FALSE)&gt;=$B20,$B20,"")</f>
        <v>9</v>
      </c>
      <c r="D20" s="441">
        <f>IF(VLOOKUP('Invoer gegevens'!$F$23,'Tabellen PO-Raad'!$A$82:$W$114,22,FALSE)&gt;=$B20,$B20,"")</f>
        <v>9</v>
      </c>
      <c r="E20" s="441">
        <f>IF(VLOOKUP('Invoer gegevens'!$M$23,'Tabellen PO-Raad'!$A$82:$W$114,22,FALSE)&gt;=$B20,$B20,"")</f>
        <v>9</v>
      </c>
      <c r="F20" s="441">
        <f>IF(VLOOKUP('Invoer gegevens'!$N$23,'Tabellen PO-Raad'!$A$82:$W$114,22,FALSE)&gt;=$B20,$B20,"")</f>
        <v>9</v>
      </c>
      <c r="G20"/>
      <c r="H20"/>
      <c r="I20" s="1" t="s">
        <v>174</v>
      </c>
      <c r="J20" s="1">
        <f t="shared" si="2"/>
        <v>4</v>
      </c>
      <c r="K20"/>
      <c r="N20" s="358">
        <f t="shared" si="1"/>
        <v>2033</v>
      </c>
      <c r="O20" s="358" t="s">
        <v>375</v>
      </c>
      <c r="P20" s="137">
        <v>24108</v>
      </c>
      <c r="Q20" s="358" t="s">
        <v>383</v>
      </c>
      <c r="R20" s="358">
        <v>24</v>
      </c>
      <c r="S20" s="570"/>
      <c r="T20" s="570"/>
      <c r="U20" s="570"/>
      <c r="V20" s="2"/>
      <c r="W20" s="2"/>
      <c r="X20" s="2"/>
      <c r="Y20" s="2"/>
      <c r="Z20" s="2"/>
      <c r="AA20" s="2"/>
      <c r="AB20" s="2"/>
      <c r="AC20" s="2"/>
      <c r="AD20" s="2"/>
      <c r="AE20" s="2"/>
      <c r="AF20" s="2"/>
      <c r="AG20" s="2"/>
    </row>
    <row r="21" spans="1:33" s="1" customFormat="1" ht="15" customHeight="1" x14ac:dyDescent="0.2">
      <c r="B21" s="445">
        <f t="shared" si="0"/>
        <v>10</v>
      </c>
      <c r="C21" s="441">
        <f>IF(VLOOKUP('Invoer gegevens'!$E$23,'Tabellen PO-Raad'!$A$82:$W$114,22,FALSE)&gt;=$B21,$B21,"")</f>
        <v>10</v>
      </c>
      <c r="D21" s="441">
        <f>IF(VLOOKUP('Invoer gegevens'!$F$23,'Tabellen PO-Raad'!$A$82:$W$114,22,FALSE)&gt;=$B21,$B21,"")</f>
        <v>10</v>
      </c>
      <c r="E21" s="441">
        <f>IF(VLOOKUP('Invoer gegevens'!$M$23,'Tabellen PO-Raad'!$A$82:$W$114,22,FALSE)&gt;=$B21,$B21,"")</f>
        <v>10</v>
      </c>
      <c r="F21" s="441">
        <f>IF(VLOOKUP('Invoer gegevens'!$N$23,'Tabellen PO-Raad'!$A$82:$W$114,22,FALSE)&gt;=$B21,$B21,"")</f>
        <v>10</v>
      </c>
      <c r="G21"/>
      <c r="H21"/>
      <c r="I21" s="1" t="s">
        <v>170</v>
      </c>
      <c r="J21" s="1">
        <f t="shared" si="2"/>
        <v>5</v>
      </c>
      <c r="K21"/>
      <c r="N21" s="358">
        <f t="shared" si="1"/>
        <v>2034</v>
      </c>
      <c r="O21" s="358" t="s">
        <v>376</v>
      </c>
      <c r="P21" s="137">
        <v>24473</v>
      </c>
      <c r="Q21" s="358" t="s">
        <v>384</v>
      </c>
      <c r="R21" s="358">
        <v>24</v>
      </c>
      <c r="S21" s="570"/>
      <c r="T21" s="570"/>
      <c r="U21" s="570"/>
      <c r="V21" s="2"/>
      <c r="W21" s="2"/>
      <c r="X21" s="2"/>
      <c r="Y21" s="2"/>
      <c r="Z21" s="2"/>
      <c r="AA21" s="2"/>
      <c r="AB21" s="2"/>
      <c r="AC21" s="2"/>
      <c r="AD21" s="2"/>
      <c r="AE21" s="2"/>
      <c r="AF21" s="2"/>
      <c r="AG21" s="2"/>
    </row>
    <row r="22" spans="1:33" s="1" customFormat="1" ht="15" customHeight="1" x14ac:dyDescent="0.2">
      <c r="B22" s="445">
        <f t="shared" si="0"/>
        <v>11</v>
      </c>
      <c r="C22" s="441">
        <f>IF(VLOOKUP('Invoer gegevens'!$E$23,'Tabellen PO-Raad'!$A$82:$W$114,22,FALSE)&gt;=$B22,$B22,"")</f>
        <v>11</v>
      </c>
      <c r="D22" s="441">
        <f>IF(VLOOKUP('Invoer gegevens'!$F$23,'Tabellen PO-Raad'!$A$82:$W$114,22,FALSE)&gt;=$B22,$B22,"")</f>
        <v>11</v>
      </c>
      <c r="E22" s="441">
        <f>IF(VLOOKUP('Invoer gegevens'!$M$23,'Tabellen PO-Raad'!$A$82:$W$114,22,FALSE)&gt;=$B22,$B22,"")</f>
        <v>11</v>
      </c>
      <c r="F22" s="441">
        <f>IF(VLOOKUP('Invoer gegevens'!$N$23,'Tabellen PO-Raad'!$A$82:$W$114,22,FALSE)&gt;=$B22,$B22,"")</f>
        <v>11</v>
      </c>
      <c r="G22"/>
      <c r="H22"/>
      <c r="I22" s="1" t="s">
        <v>175</v>
      </c>
      <c r="J22" s="1">
        <f t="shared" si="2"/>
        <v>6</v>
      </c>
      <c r="K22"/>
      <c r="S22" s="2"/>
      <c r="T22" s="2"/>
      <c r="U22" s="2"/>
      <c r="V22" s="2"/>
      <c r="W22" s="2"/>
      <c r="X22" s="2"/>
      <c r="Y22" s="2"/>
      <c r="Z22" s="2"/>
      <c r="AA22" s="2"/>
      <c r="AB22" s="2"/>
      <c r="AC22" s="2"/>
      <c r="AD22" s="2"/>
      <c r="AE22" s="2"/>
      <c r="AF22" s="2"/>
      <c r="AG22" s="2"/>
    </row>
    <row r="23" spans="1:33" s="1" customFormat="1" ht="15" customHeight="1" x14ac:dyDescent="0.2">
      <c r="B23" s="445">
        <f t="shared" si="0"/>
        <v>12</v>
      </c>
      <c r="C23" s="441">
        <f>IF(VLOOKUP('Invoer gegevens'!$E$23,'Tabellen PO-Raad'!$A$82:$W$114,22,FALSE)&gt;=$B23,$B23,"")</f>
        <v>12</v>
      </c>
      <c r="D23" s="441">
        <f>IF(VLOOKUP('Invoer gegevens'!$F$23,'Tabellen PO-Raad'!$A$82:$W$114,22,FALSE)&gt;=$B23,$B23,"")</f>
        <v>12</v>
      </c>
      <c r="E23" s="441">
        <f>IF(VLOOKUP('Invoer gegevens'!$M$23,'Tabellen PO-Raad'!$A$82:$W$114,22,FALSE)&gt;=$B23,$B23,"")</f>
        <v>12</v>
      </c>
      <c r="F23" s="441">
        <f>IF(VLOOKUP('Invoer gegevens'!$N$23,'Tabellen PO-Raad'!$A$82:$W$114,22,FALSE)&gt;=$B23,$B23,"")</f>
        <v>12</v>
      </c>
      <c r="G23"/>
      <c r="H23"/>
      <c r="I23" s="1" t="s">
        <v>176</v>
      </c>
      <c r="J23" s="1">
        <f t="shared" si="2"/>
        <v>7</v>
      </c>
      <c r="K23"/>
      <c r="O23" s="1" t="s">
        <v>302</v>
      </c>
      <c r="S23" s="2"/>
      <c r="T23" s="2"/>
      <c r="U23" s="2"/>
      <c r="V23" s="2"/>
      <c r="W23" s="2"/>
      <c r="X23" s="2"/>
      <c r="Y23" s="2"/>
      <c r="Z23" s="2"/>
      <c r="AA23" s="2"/>
      <c r="AB23" s="2"/>
      <c r="AC23" s="2"/>
      <c r="AD23" s="2"/>
      <c r="AE23" s="2"/>
      <c r="AF23" s="2"/>
      <c r="AG23" s="2"/>
    </row>
    <row r="24" spans="1:33" s="1" customFormat="1" ht="15" customHeight="1" x14ac:dyDescent="0.2">
      <c r="B24" s="445">
        <f t="shared" si="0"/>
        <v>13</v>
      </c>
      <c r="C24" s="441" t="str">
        <f>IF(VLOOKUP('Invoer gegevens'!$E$23,'Tabellen PO-Raad'!$A$82:$W$114,22,FALSE)&gt;=$B24,$B24,"")</f>
        <v/>
      </c>
      <c r="D24" s="441" t="str">
        <f>IF(VLOOKUP('Invoer gegevens'!$F$23,'Tabellen PO-Raad'!$A$82:$W$114,22,FALSE)&gt;=$B24,$B24,"")</f>
        <v/>
      </c>
      <c r="E24" s="441" t="str">
        <f>IF(VLOOKUP('Invoer gegevens'!$M$23,'Tabellen PO-Raad'!$A$82:$W$114,22,FALSE)&gt;=$B24,$B24,"")</f>
        <v/>
      </c>
      <c r="F24" s="441" t="str">
        <f>IF(VLOOKUP('Invoer gegevens'!$N$23,'Tabellen PO-Raad'!$A$82:$W$114,22,FALSE)&gt;=$B24,$B24,"")</f>
        <v/>
      </c>
      <c r="G24"/>
      <c r="H24"/>
      <c r="I24" s="1" t="s">
        <v>177</v>
      </c>
      <c r="J24" s="1">
        <f t="shared" si="2"/>
        <v>8</v>
      </c>
      <c r="K24"/>
      <c r="O24" s="360" t="s">
        <v>167</v>
      </c>
      <c r="P24" s="352">
        <f>VALUE("1-"&amp;'Invoer gegevens'!$G$19&amp;"-"&amp;'Invoer gegevens'!$E$19)</f>
        <v>45658</v>
      </c>
      <c r="Q24" s="351">
        <f>VALUE("1-1-"&amp;'Invoer gegevens'!$E$19+1)</f>
        <v>46023</v>
      </c>
      <c r="R24" s="359">
        <f>YEARFRAC(P24,Q24,1)</f>
        <v>1</v>
      </c>
      <c r="S24" s="2"/>
      <c r="T24" s="2"/>
      <c r="U24" s="2"/>
      <c r="V24" s="2"/>
      <c r="W24" s="2"/>
      <c r="X24" s="2"/>
      <c r="Y24" s="2"/>
      <c r="Z24" s="2"/>
      <c r="AA24" s="2"/>
      <c r="AB24" s="2"/>
      <c r="AC24" s="2"/>
      <c r="AD24" s="2"/>
      <c r="AE24" s="2"/>
      <c r="AF24" s="2"/>
      <c r="AG24" s="2"/>
    </row>
    <row r="25" spans="1:33" s="1" customFormat="1" ht="15" customHeight="1" x14ac:dyDescent="0.2">
      <c r="B25" s="445">
        <f t="shared" si="0"/>
        <v>14</v>
      </c>
      <c r="C25" s="441" t="str">
        <f>IF(VLOOKUP('Invoer gegevens'!$E$23,'Tabellen PO-Raad'!$A$82:$W$114,22,FALSE)&gt;=$B25,$B25,"")</f>
        <v/>
      </c>
      <c r="D25" s="441" t="str">
        <f>IF(VLOOKUP('Invoer gegevens'!$F$23,'Tabellen PO-Raad'!$A$82:$W$114,22,FALSE)&gt;=$B25,$B25,"")</f>
        <v/>
      </c>
      <c r="E25" s="441" t="str">
        <f>IF(VLOOKUP('Invoer gegevens'!$M$23,'Tabellen PO-Raad'!$A$82:$W$114,22,FALSE)&gt;=$B25,$B25,"")</f>
        <v/>
      </c>
      <c r="F25" s="441" t="str">
        <f>IF(VLOOKUP('Invoer gegevens'!$N$23,'Tabellen PO-Raad'!$A$82:$W$114,22,FALSE)&gt;=$B25,$B25,"")</f>
        <v/>
      </c>
      <c r="G25"/>
      <c r="H25"/>
      <c r="I25" s="1" t="s">
        <v>178</v>
      </c>
      <c r="J25" s="1">
        <f t="shared" si="2"/>
        <v>9</v>
      </c>
      <c r="K25"/>
      <c r="O25" s="361" t="s">
        <v>168</v>
      </c>
      <c r="P25" s="353">
        <f>VALUE("1-1-"&amp;'Invoer gegevens'!$E$20)</f>
        <v>47484</v>
      </c>
      <c r="Q25" s="354">
        <f>VALUE("1-"&amp;'Invoer gegevens'!$G$20&amp;"-"&amp;'Invoer gegevens'!$E$20)</f>
        <v>47543</v>
      </c>
      <c r="R25" s="359">
        <f>YEARFRAC(P25,Q25,1)</f>
        <v>0.16164383561643836</v>
      </c>
      <c r="S25" s="2"/>
      <c r="T25" s="2"/>
      <c r="U25" s="2"/>
      <c r="V25" s="2"/>
      <c r="W25" s="2"/>
      <c r="X25" s="2"/>
      <c r="Y25" s="2"/>
      <c r="Z25" s="2"/>
      <c r="AA25" s="2"/>
      <c r="AB25" s="2"/>
      <c r="AC25" s="2"/>
      <c r="AD25" s="2"/>
      <c r="AE25" s="2"/>
      <c r="AF25" s="2"/>
      <c r="AG25" s="2"/>
    </row>
    <row r="26" spans="1:33" s="1" customFormat="1" ht="15" customHeight="1" x14ac:dyDescent="0.2">
      <c r="B26" s="445">
        <f t="shared" si="0"/>
        <v>15</v>
      </c>
      <c r="C26" s="441" t="str">
        <f>IF(VLOOKUP('Invoer gegevens'!$E$23,'Tabellen PO-Raad'!$A$82:$W$114,22,FALSE)&gt;=$B26,$B26,"")</f>
        <v/>
      </c>
      <c r="D26" s="441" t="str">
        <f>IF(VLOOKUP('Invoer gegevens'!$F$23,'Tabellen PO-Raad'!$A$82:$W$114,22,FALSE)&gt;=$B26,$B26,"")</f>
        <v/>
      </c>
      <c r="E26" s="441" t="str">
        <f>IF(VLOOKUP('Invoer gegevens'!$M$23,'Tabellen PO-Raad'!$A$82:$W$114,22,FALSE)&gt;=$B26,$B26,"")</f>
        <v/>
      </c>
      <c r="F26" s="441" t="str">
        <f>IF(VLOOKUP('Invoer gegevens'!$N$23,'Tabellen PO-Raad'!$A$82:$W$114,22,FALSE)&gt;=$B26,$B26,"")</f>
        <v/>
      </c>
      <c r="G26"/>
      <c r="H26"/>
      <c r="I26" s="1" t="s">
        <v>179</v>
      </c>
      <c r="J26" s="1">
        <f t="shared" si="2"/>
        <v>10</v>
      </c>
      <c r="K26"/>
      <c r="S26" s="2"/>
      <c r="T26" s="2"/>
      <c r="U26" s="2"/>
      <c r="V26" s="2"/>
      <c r="W26" s="2"/>
      <c r="X26" s="2"/>
      <c r="Y26" s="2"/>
      <c r="Z26" s="2"/>
      <c r="AA26" s="2"/>
      <c r="AB26" s="2"/>
      <c r="AC26" s="2"/>
      <c r="AD26" s="2"/>
      <c r="AE26" s="2"/>
      <c r="AF26" s="2"/>
      <c r="AG26" s="2"/>
    </row>
    <row r="27" spans="1:33" s="1" customFormat="1" ht="15" customHeight="1" x14ac:dyDescent="0.2">
      <c r="B27" s="445">
        <f t="shared" si="0"/>
        <v>16</v>
      </c>
      <c r="C27" s="441" t="str">
        <f>IF(VLOOKUP('Invoer gegevens'!$E$23,'Tabellen PO-Raad'!$A$82:$W$114,22,FALSE)&gt;=$B27,$B27,"")</f>
        <v/>
      </c>
      <c r="D27" s="441" t="str">
        <f>IF(VLOOKUP('Invoer gegevens'!$F$23,'Tabellen PO-Raad'!$A$82:$W$114,22,FALSE)&gt;=$B27,$B27,"")</f>
        <v/>
      </c>
      <c r="E27" s="441" t="str">
        <f>IF(VLOOKUP('Invoer gegevens'!$M$23,'Tabellen PO-Raad'!$A$82:$W$114,22,FALSE)&gt;=$B27,$B27,"")</f>
        <v/>
      </c>
      <c r="F27" s="441" t="str">
        <f>IF(VLOOKUP('Invoer gegevens'!$N$23,'Tabellen PO-Raad'!$A$82:$W$114,22,FALSE)&gt;=$B27,$B27,"")</f>
        <v/>
      </c>
      <c r="G27"/>
      <c r="H27"/>
      <c r="I27" s="1" t="s">
        <v>180</v>
      </c>
      <c r="J27" s="1">
        <f t="shared" si="2"/>
        <v>11</v>
      </c>
      <c r="K27"/>
      <c r="S27" s="2"/>
      <c r="T27" s="2"/>
      <c r="U27" s="2"/>
      <c r="V27" s="2"/>
      <c r="W27" s="2"/>
      <c r="X27" s="2"/>
      <c r="Y27" s="2"/>
      <c r="Z27" s="2"/>
      <c r="AA27" s="2"/>
      <c r="AB27" s="2"/>
      <c r="AC27" s="2"/>
      <c r="AD27" s="2"/>
      <c r="AE27" s="2"/>
      <c r="AF27" s="2"/>
      <c r="AG27" s="2"/>
    </row>
    <row r="28" spans="1:33" s="1" customFormat="1" ht="15" customHeight="1" x14ac:dyDescent="0.2">
      <c r="C28" s="8" t="s">
        <v>299</v>
      </c>
      <c r="I28" s="1" t="s">
        <v>181</v>
      </c>
      <c r="J28" s="1">
        <f t="shared" si="2"/>
        <v>12</v>
      </c>
      <c r="K28"/>
      <c r="S28" s="2"/>
      <c r="T28" s="2"/>
      <c r="U28" s="2"/>
      <c r="V28" s="2"/>
      <c r="W28" s="2"/>
      <c r="X28" s="2"/>
      <c r="Y28" s="2"/>
      <c r="Z28" s="2"/>
      <c r="AA28" s="2"/>
      <c r="AB28" s="2"/>
      <c r="AC28" s="2"/>
      <c r="AD28" s="2"/>
      <c r="AE28" s="2"/>
      <c r="AF28" s="2"/>
      <c r="AG28" s="2"/>
    </row>
    <row r="29" spans="1:33" s="1" customFormat="1" ht="15" customHeight="1" x14ac:dyDescent="0.2">
      <c r="F29" s="1" t="s">
        <v>71</v>
      </c>
      <c r="G29"/>
      <c r="H29"/>
      <c r="S29" s="2"/>
      <c r="T29" s="2"/>
      <c r="U29" s="2"/>
      <c r="V29" s="2"/>
      <c r="W29" s="2"/>
      <c r="X29" s="2"/>
      <c r="Y29" s="2"/>
      <c r="Z29" s="2"/>
      <c r="AA29" s="2"/>
      <c r="AB29" s="2"/>
      <c r="AC29" s="2"/>
      <c r="AD29" s="2"/>
      <c r="AE29" s="2"/>
      <c r="AF29" s="2"/>
      <c r="AG29" s="2"/>
    </row>
    <row r="30" spans="1:33" s="1" customFormat="1" ht="15" customHeight="1" x14ac:dyDescent="0.2">
      <c r="B30" s="1" t="s">
        <v>277</v>
      </c>
      <c r="C30" s="409" t="s">
        <v>293</v>
      </c>
      <c r="D30" s="1" t="s">
        <v>293</v>
      </c>
      <c r="E30" s="1" t="s">
        <v>293</v>
      </c>
      <c r="F30" s="1" t="s">
        <v>293</v>
      </c>
      <c r="G30"/>
      <c r="H30"/>
      <c r="I30" s="1" t="s">
        <v>327</v>
      </c>
      <c r="L30" s="467"/>
      <c r="M30" s="467"/>
      <c r="S30" s="2"/>
      <c r="T30" s="2"/>
      <c r="U30" s="2"/>
      <c r="V30" s="2"/>
      <c r="W30" s="2"/>
      <c r="X30" s="2"/>
      <c r="Y30" s="2"/>
      <c r="Z30" s="2"/>
      <c r="AA30" s="2"/>
      <c r="AB30" s="2"/>
      <c r="AC30" s="2"/>
      <c r="AD30" s="2"/>
      <c r="AE30" s="2"/>
      <c r="AF30" s="2"/>
      <c r="AG30" s="2"/>
    </row>
    <row r="31" spans="1:33" s="1" customFormat="1" ht="15" customHeight="1" x14ac:dyDescent="0.2">
      <c r="B31" s="1" t="s">
        <v>278</v>
      </c>
      <c r="C31" s="409" t="s">
        <v>293</v>
      </c>
      <c r="D31" s="1" t="s">
        <v>293</v>
      </c>
      <c r="E31" s="1" t="s">
        <v>293</v>
      </c>
      <c r="F31" s="1" t="s">
        <v>293</v>
      </c>
      <c r="G31"/>
      <c r="H31"/>
      <c r="I31" s="469">
        <f>E2</f>
        <v>2025</v>
      </c>
      <c r="K31"/>
      <c r="L31" s="467"/>
      <c r="M31" s="467"/>
      <c r="S31" s="2"/>
      <c r="T31" s="2"/>
      <c r="U31" s="2"/>
      <c r="V31" s="2"/>
      <c r="W31" s="2"/>
      <c r="X31" s="2"/>
      <c r="Y31" s="2"/>
      <c r="Z31" s="2"/>
      <c r="AA31" s="2"/>
      <c r="AB31" s="2"/>
      <c r="AC31" s="2"/>
      <c r="AD31" s="2"/>
      <c r="AE31" s="2"/>
      <c r="AF31" s="2"/>
      <c r="AG31" s="2"/>
    </row>
    <row r="32" spans="1:33" s="1" customFormat="1" ht="15" customHeight="1" x14ac:dyDescent="0.2">
      <c r="B32" s="1" t="s">
        <v>279</v>
      </c>
      <c r="C32" s="409" t="s">
        <v>293</v>
      </c>
      <c r="D32" s="1" t="s">
        <v>293</v>
      </c>
      <c r="E32" s="1" t="s">
        <v>293</v>
      </c>
      <c r="F32" s="1" t="s">
        <v>293</v>
      </c>
      <c r="G32"/>
      <c r="H32"/>
      <c r="I32" s="468">
        <f>I31+1</f>
        <v>2026</v>
      </c>
      <c r="K32"/>
      <c r="L32" s="467"/>
      <c r="M32" s="467"/>
      <c r="S32" s="2"/>
      <c r="T32" s="2"/>
      <c r="U32" s="2"/>
      <c r="V32" s="2"/>
      <c r="W32" s="2"/>
      <c r="X32" s="2"/>
      <c r="Y32" s="2"/>
      <c r="Z32" s="2"/>
      <c r="AA32" s="2"/>
      <c r="AB32" s="2"/>
      <c r="AC32" s="2"/>
      <c r="AD32" s="2"/>
      <c r="AE32" s="2"/>
      <c r="AF32" s="2"/>
      <c r="AG32" s="2"/>
    </row>
    <row r="33" spans="2:33" s="1" customFormat="1" ht="15" customHeight="1" x14ac:dyDescent="0.2">
      <c r="B33" s="1" t="s">
        <v>280</v>
      </c>
      <c r="C33" s="409" t="s">
        <v>293</v>
      </c>
      <c r="D33" s="1" t="s">
        <v>293</v>
      </c>
      <c r="E33" s="1" t="s">
        <v>293</v>
      </c>
      <c r="F33" s="1" t="s">
        <v>280</v>
      </c>
      <c r="G33"/>
      <c r="H33"/>
      <c r="I33" s="468">
        <f t="shared" ref="I33:I40" si="3">I32+1</f>
        <v>2027</v>
      </c>
      <c r="K33"/>
      <c r="L33" s="467"/>
      <c r="M33" s="467"/>
      <c r="S33" s="2"/>
      <c r="T33" s="2"/>
      <c r="U33" s="2"/>
      <c r="V33" s="2"/>
      <c r="W33" s="2"/>
      <c r="X33" s="2"/>
      <c r="Y33" s="2"/>
      <c r="Z33" s="2"/>
      <c r="AA33" s="2"/>
      <c r="AB33" s="2"/>
      <c r="AC33" s="2"/>
      <c r="AD33" s="2"/>
      <c r="AE33" s="2"/>
      <c r="AF33" s="2"/>
      <c r="AG33" s="2"/>
    </row>
    <row r="34" spans="2:33" s="1" customFormat="1" ht="15" customHeight="1" x14ac:dyDescent="0.2">
      <c r="B34"/>
      <c r="C34"/>
      <c r="D34"/>
      <c r="E34"/>
      <c r="F34"/>
      <c r="G34" s="504"/>
      <c r="H34" s="504"/>
      <c r="I34" s="468">
        <f t="shared" si="3"/>
        <v>2028</v>
      </c>
      <c r="K34"/>
      <c r="L34" s="467"/>
      <c r="M34" s="467"/>
      <c r="S34" s="2"/>
      <c r="T34" s="2"/>
      <c r="U34" s="2"/>
      <c r="V34" s="2"/>
      <c r="W34" s="2"/>
      <c r="X34" s="2"/>
      <c r="Y34" s="2"/>
      <c r="Z34" s="2"/>
      <c r="AA34" s="2"/>
      <c r="AB34" s="2"/>
      <c r="AC34" s="2"/>
      <c r="AD34" s="2"/>
      <c r="AE34" s="2"/>
      <c r="AF34" s="2"/>
      <c r="AG34" s="2"/>
    </row>
    <row r="35" spans="2:33" s="1" customFormat="1" ht="15" customHeight="1" x14ac:dyDescent="0.2">
      <c r="B35"/>
      <c r="C35"/>
      <c r="D35"/>
      <c r="E35"/>
      <c r="F35"/>
      <c r="G35" s="502"/>
      <c r="I35" s="468">
        <f t="shared" si="3"/>
        <v>2029</v>
      </c>
      <c r="K35"/>
      <c r="L35" s="467"/>
      <c r="M35" s="467"/>
      <c r="S35" s="2"/>
      <c r="T35" s="2"/>
      <c r="U35" s="2"/>
      <c r="V35" s="2"/>
      <c r="W35" s="2"/>
      <c r="X35" s="2"/>
      <c r="Y35" s="2"/>
      <c r="Z35" s="2"/>
      <c r="AA35" s="2"/>
      <c r="AB35" s="2"/>
      <c r="AC35" s="2"/>
      <c r="AD35" s="2"/>
      <c r="AE35" s="2"/>
      <c r="AF35" s="2"/>
      <c r="AG35" s="2"/>
    </row>
    <row r="36" spans="2:33" s="1" customFormat="1" ht="15" customHeight="1" x14ac:dyDescent="0.2">
      <c r="B36"/>
      <c r="C36"/>
      <c r="D36"/>
      <c r="E36"/>
      <c r="F36"/>
      <c r="G36" s="502"/>
      <c r="I36" s="468">
        <f t="shared" si="3"/>
        <v>2030</v>
      </c>
      <c r="K36"/>
      <c r="L36" s="467"/>
      <c r="M36" s="467"/>
      <c r="S36" s="2"/>
      <c r="T36" s="2"/>
      <c r="U36" s="2"/>
      <c r="V36" s="2"/>
      <c r="W36" s="2"/>
      <c r="X36" s="2"/>
      <c r="Y36" s="2"/>
      <c r="Z36" s="2"/>
      <c r="AA36" s="2"/>
      <c r="AB36" s="2"/>
      <c r="AC36" s="2"/>
      <c r="AD36" s="2"/>
      <c r="AE36" s="2"/>
      <c r="AF36" s="2"/>
      <c r="AG36" s="2"/>
    </row>
    <row r="37" spans="2:33" s="1" customFormat="1" ht="15" customHeight="1" x14ac:dyDescent="0.2">
      <c r="B37"/>
      <c r="C37"/>
      <c r="D37"/>
      <c r="E37"/>
      <c r="F37"/>
      <c r="G37" s="502"/>
      <c r="I37" s="468">
        <f t="shared" si="3"/>
        <v>2031</v>
      </c>
      <c r="K37"/>
      <c r="L37" s="467"/>
      <c r="M37" s="467"/>
      <c r="S37" s="2"/>
      <c r="T37" s="2"/>
      <c r="U37" s="2"/>
      <c r="V37" s="2"/>
      <c r="W37" s="2"/>
      <c r="X37" s="2"/>
      <c r="Y37" s="2"/>
      <c r="Z37" s="2"/>
      <c r="AA37" s="2"/>
      <c r="AB37" s="2"/>
      <c r="AC37" s="2"/>
      <c r="AD37" s="2"/>
      <c r="AE37" s="2"/>
      <c r="AF37" s="2"/>
      <c r="AG37" s="2"/>
    </row>
    <row r="38" spans="2:33" s="1" customFormat="1" ht="15" customHeight="1" x14ac:dyDescent="0.2">
      <c r="B38"/>
      <c r="C38"/>
      <c r="D38"/>
      <c r="E38"/>
      <c r="F38"/>
      <c r="G38" s="502"/>
      <c r="I38" s="468">
        <f t="shared" si="3"/>
        <v>2032</v>
      </c>
      <c r="K38"/>
      <c r="L38" s="467"/>
      <c r="M38" s="467"/>
      <c r="S38" s="2"/>
      <c r="T38" s="2"/>
      <c r="U38" s="2"/>
      <c r="V38" s="2"/>
      <c r="W38" s="2"/>
      <c r="X38" s="2"/>
      <c r="Y38" s="2"/>
      <c r="Z38" s="2"/>
      <c r="AA38" s="2"/>
      <c r="AB38" s="2"/>
      <c r="AC38" s="2"/>
      <c r="AD38" s="2"/>
      <c r="AE38" s="2"/>
      <c r="AF38" s="2"/>
      <c r="AG38" s="2"/>
    </row>
    <row r="39" spans="2:33" s="1" customFormat="1" ht="15" customHeight="1" x14ac:dyDescent="0.2">
      <c r="B39"/>
      <c r="C39"/>
      <c r="D39"/>
      <c r="E39"/>
      <c r="F39"/>
      <c r="G39" s="502"/>
      <c r="I39" s="468">
        <f t="shared" si="3"/>
        <v>2033</v>
      </c>
      <c r="K39"/>
      <c r="L39" s="467"/>
      <c r="M39" s="467"/>
      <c r="S39" s="2"/>
      <c r="T39" s="2"/>
      <c r="U39" s="2"/>
      <c r="V39" s="2"/>
      <c r="W39" s="2"/>
      <c r="X39" s="2"/>
      <c r="Y39" s="2"/>
      <c r="Z39" s="2"/>
      <c r="AA39" s="2"/>
      <c r="AB39" s="2"/>
      <c r="AC39" s="2"/>
      <c r="AD39" s="2"/>
      <c r="AE39" s="2"/>
      <c r="AF39" s="2"/>
      <c r="AG39" s="2"/>
    </row>
    <row r="40" spans="2:33" s="1" customFormat="1" ht="15" customHeight="1" x14ac:dyDescent="0.2">
      <c r="B40" s="502"/>
      <c r="C40" s="502"/>
      <c r="D40" s="502"/>
      <c r="E40" s="502"/>
      <c r="F40" s="502"/>
      <c r="G40" s="502"/>
      <c r="I40" s="468">
        <f t="shared" si="3"/>
        <v>2034</v>
      </c>
      <c r="K40"/>
      <c r="S40" s="2"/>
      <c r="T40" s="2"/>
      <c r="U40" s="2"/>
      <c r="V40" s="2"/>
      <c r="W40" s="2"/>
      <c r="X40" s="2"/>
      <c r="Y40" s="2"/>
      <c r="Z40" s="2"/>
      <c r="AA40" s="2"/>
      <c r="AB40" s="2"/>
      <c r="AC40" s="2"/>
      <c r="AD40" s="2"/>
      <c r="AE40" s="2"/>
      <c r="AF40" s="2"/>
      <c r="AG40" s="2"/>
    </row>
    <row r="41" spans="2:33" ht="15" customHeight="1" x14ac:dyDescent="0.2">
      <c r="B41" s="496"/>
      <c r="C41" s="496"/>
      <c r="D41" s="496"/>
      <c r="E41" s="496"/>
      <c r="F41" s="496"/>
      <c r="G41" s="496"/>
      <c r="N41" s="1"/>
      <c r="O41" s="1"/>
      <c r="P41" s="1"/>
      <c r="Q41" s="1"/>
      <c r="R41" s="1"/>
    </row>
    <row r="42" spans="2:33" ht="15" customHeight="1" x14ac:dyDescent="0.2">
      <c r="B42" s="496"/>
      <c r="C42" s="496"/>
      <c r="D42" s="496"/>
      <c r="E42" s="496"/>
      <c r="F42" s="496"/>
      <c r="G42" s="496"/>
      <c r="N42" s="1"/>
      <c r="O42" s="1"/>
      <c r="P42" s="1"/>
      <c r="Q42" s="1"/>
      <c r="R42" s="1"/>
    </row>
    <row r="43" spans="2:33" ht="15" customHeight="1" x14ac:dyDescent="0.2">
      <c r="B43" s="496"/>
      <c r="C43" s="496"/>
      <c r="D43" s="496"/>
      <c r="E43" s="496"/>
      <c r="F43" s="496"/>
      <c r="G43" s="496"/>
      <c r="N43" s="1"/>
      <c r="O43" s="1"/>
      <c r="P43" s="1"/>
      <c r="Q43" s="1"/>
      <c r="R43" s="1"/>
    </row>
    <row r="44" spans="2:33" ht="15" customHeight="1" x14ac:dyDescent="0.2">
      <c r="B44" s="496"/>
      <c r="C44" s="496"/>
      <c r="D44" s="496"/>
      <c r="E44" s="496"/>
      <c r="F44" s="496"/>
      <c r="G44" s="496"/>
      <c r="N44" s="1"/>
      <c r="O44" s="1"/>
      <c r="P44" s="1"/>
      <c r="Q44" s="1"/>
      <c r="R44" s="1"/>
    </row>
    <row r="45" spans="2:33" ht="15" customHeight="1" x14ac:dyDescent="0.2">
      <c r="N45" s="1"/>
      <c r="O45" s="1"/>
      <c r="P45" s="1"/>
      <c r="Q45" s="1"/>
      <c r="R45" s="1"/>
    </row>
    <row r="46" spans="2:33" ht="15" customHeight="1" x14ac:dyDescent="0.2">
      <c r="N46" s="1"/>
      <c r="O46" s="1"/>
      <c r="P46" s="1"/>
      <c r="Q46" s="1"/>
      <c r="R46" s="1"/>
    </row>
    <row r="47" spans="2:33" ht="15" customHeight="1" x14ac:dyDescent="0.2">
      <c r="N47" s="1"/>
      <c r="O47" s="1"/>
      <c r="P47" s="1"/>
      <c r="Q47" s="1"/>
      <c r="R47" s="1"/>
    </row>
    <row r="48" spans="2:33" ht="15" customHeight="1" x14ac:dyDescent="0.2">
      <c r="N48" s="1"/>
      <c r="O48" s="1"/>
      <c r="P48" s="1"/>
      <c r="Q48" s="1"/>
      <c r="R48" s="1"/>
    </row>
  </sheetData>
  <sheetProtection algorithmName="SHA-512" hashValue="FEa3eCTOz+5vqYp0YSMV73mqY/qahYus/RdcO8HvzoT4tXKnzMgCVJ/8lQ5nmGZcEgmz9557JqU08lEKfHTaNQ==" saltValue="TSjQ12oUWqMYhin2wEVBNw==" spinCount="100000" sheet="1" objects="1" scenarios="1"/>
  <mergeCells count="1">
    <mergeCell ref="S6:U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B3:P58"/>
  <sheetViews>
    <sheetView workbookViewId="0">
      <selection activeCell="G9" sqref="G9:I9"/>
    </sheetView>
  </sheetViews>
  <sheetFormatPr defaultColWidth="9.140625" defaultRowHeight="15" customHeight="1" x14ac:dyDescent="0.25"/>
  <cols>
    <col min="1" max="1" width="3.7109375" style="52" customWidth="1"/>
    <col min="2" max="3" width="2.7109375" style="52" customWidth="1"/>
    <col min="4" max="4" width="18.5703125" style="52" customWidth="1"/>
    <col min="5" max="5" width="3.140625" style="52" customWidth="1"/>
    <col min="6" max="8" width="10.7109375" style="52" customWidth="1"/>
    <col min="9" max="9" width="12.85546875" style="52" bestFit="1" customWidth="1"/>
    <col min="10" max="10" width="13.42578125" style="52" customWidth="1"/>
    <col min="11" max="11" width="10.7109375" style="52" customWidth="1"/>
    <col min="12" max="12" width="5.140625" style="52" customWidth="1"/>
    <col min="13" max="13" width="17.28515625" style="52" customWidth="1"/>
    <col min="14" max="14" width="37.85546875" style="52" customWidth="1"/>
    <col min="15" max="16" width="2.85546875" style="52" customWidth="1"/>
    <col min="17" max="17" width="4.7109375" style="52" customWidth="1"/>
    <col min="18" max="16384" width="9.140625" style="52"/>
  </cols>
  <sheetData>
    <row r="3" spans="2:16" ht="24" customHeight="1" x14ac:dyDescent="0.25">
      <c r="M3" s="68"/>
      <c r="N3" s="68"/>
    </row>
    <row r="4" spans="2:16" ht="15" customHeight="1" x14ac:dyDescent="0.35">
      <c r="D4" s="530" t="s">
        <v>125</v>
      </c>
      <c r="E4" s="530"/>
      <c r="F4" s="530"/>
      <c r="G4" s="530"/>
      <c r="H4" s="530"/>
      <c r="I4" s="530"/>
      <c r="J4" s="530"/>
      <c r="K4" s="530"/>
      <c r="L4" s="530"/>
      <c r="M4" s="68"/>
      <c r="N4" s="68"/>
    </row>
    <row r="5" spans="2:16" ht="21" customHeight="1" thickBot="1" x14ac:dyDescent="0.3">
      <c r="D5" s="68"/>
      <c r="E5" s="68"/>
      <c r="F5" s="68"/>
      <c r="G5" s="68"/>
      <c r="H5" s="68"/>
      <c r="I5" s="68"/>
      <c r="J5" s="68"/>
      <c r="K5" s="68"/>
      <c r="L5" s="68"/>
      <c r="M5" s="68"/>
      <c r="N5" s="68"/>
    </row>
    <row r="6" spans="2:16" ht="15" customHeight="1" thickTop="1" x14ac:dyDescent="0.25">
      <c r="B6" s="253"/>
      <c r="C6" s="254"/>
      <c r="D6" s="254"/>
      <c r="E6" s="254"/>
      <c r="F6" s="254"/>
      <c r="G6" s="254"/>
      <c r="H6" s="254"/>
      <c r="I6" s="254"/>
      <c r="J6" s="254"/>
      <c r="K6" s="254"/>
      <c r="L6" s="254"/>
      <c r="M6" s="254"/>
      <c r="N6" s="254"/>
      <c r="O6" s="254"/>
      <c r="P6" s="255"/>
    </row>
    <row r="7" spans="2:16" ht="15" customHeight="1" x14ac:dyDescent="0.25">
      <c r="B7" s="256"/>
      <c r="C7" s="54"/>
      <c r="D7" s="54"/>
      <c r="E7" s="54"/>
      <c r="F7" s="54"/>
      <c r="G7" s="54"/>
      <c r="H7" s="54"/>
      <c r="I7" s="54"/>
      <c r="J7" s="54"/>
      <c r="K7" s="54"/>
      <c r="L7" s="54"/>
      <c r="M7" s="54"/>
      <c r="N7" s="54"/>
      <c r="O7" s="54"/>
      <c r="P7" s="257"/>
    </row>
    <row r="8" spans="2:16" ht="15.75" customHeight="1" x14ac:dyDescent="0.25">
      <c r="B8" s="256"/>
      <c r="C8" s="54"/>
      <c r="D8" s="528" t="s">
        <v>289</v>
      </c>
      <c r="E8" s="528"/>
      <c r="F8" s="528"/>
      <c r="G8" s="528"/>
      <c r="H8" s="528"/>
      <c r="I8" s="528"/>
      <c r="J8" s="528"/>
      <c r="K8" s="528"/>
      <c r="L8" s="528"/>
      <c r="M8" s="528"/>
      <c r="N8" s="528"/>
      <c r="O8" s="54"/>
      <c r="P8" s="257"/>
    </row>
    <row r="9" spans="2:16" ht="15.75" customHeight="1" x14ac:dyDescent="0.25">
      <c r="B9" s="256"/>
      <c r="C9" s="54"/>
      <c r="D9" s="528" t="s">
        <v>290</v>
      </c>
      <c r="E9" s="529"/>
      <c r="F9" s="529"/>
      <c r="G9" s="604" t="s">
        <v>356</v>
      </c>
      <c r="H9" s="604"/>
      <c r="I9" s="604"/>
      <c r="J9" s="440"/>
      <c r="K9" s="440"/>
      <c r="L9" s="440"/>
      <c r="M9" s="440"/>
      <c r="N9" s="440"/>
      <c r="O9" s="54"/>
      <c r="P9" s="257"/>
    </row>
    <row r="10" spans="2:16" ht="15.75" customHeight="1" x14ac:dyDescent="0.25">
      <c r="B10" s="256"/>
      <c r="C10" s="54"/>
      <c r="D10" s="440"/>
      <c r="E10" s="440"/>
      <c r="F10" s="440"/>
      <c r="G10" s="440"/>
      <c r="H10" s="440"/>
      <c r="I10" s="440"/>
      <c r="J10" s="440"/>
      <c r="K10" s="440"/>
      <c r="L10" s="440"/>
      <c r="M10" s="440"/>
      <c r="N10" s="440"/>
      <c r="O10" s="54"/>
      <c r="P10" s="257"/>
    </row>
    <row r="11" spans="2:16" ht="15" customHeight="1" x14ac:dyDescent="0.25">
      <c r="B11" s="256"/>
      <c r="C11" s="54"/>
      <c r="D11" s="54" t="s">
        <v>7</v>
      </c>
      <c r="E11" s="54"/>
      <c r="F11" s="54"/>
      <c r="G11" s="54"/>
      <c r="H11" s="54"/>
      <c r="I11" s="534" t="s">
        <v>100</v>
      </c>
      <c r="J11" s="535"/>
      <c r="K11" s="54"/>
      <c r="L11" s="54"/>
      <c r="M11" s="54"/>
      <c r="N11" s="54"/>
      <c r="O11" s="54"/>
      <c r="P11" s="258"/>
    </row>
    <row r="12" spans="2:16" ht="15" customHeight="1" x14ac:dyDescent="0.25">
      <c r="B12" s="256"/>
      <c r="C12" s="54"/>
      <c r="D12" s="54" t="s">
        <v>240</v>
      </c>
      <c r="E12" s="54"/>
      <c r="F12" s="54"/>
      <c r="G12" s="54"/>
      <c r="H12" s="54"/>
      <c r="I12" s="54"/>
      <c r="J12" s="54"/>
      <c r="K12" s="54"/>
      <c r="L12" s="54"/>
      <c r="M12" s="54"/>
      <c r="N12" s="54"/>
      <c r="O12" s="54"/>
      <c r="P12" s="257"/>
    </row>
    <row r="13" spans="2:16" ht="15" customHeight="1" x14ac:dyDescent="0.25">
      <c r="B13" s="256"/>
      <c r="C13" s="54"/>
      <c r="D13" s="54"/>
      <c r="E13" s="54"/>
      <c r="F13" s="54"/>
      <c r="G13" s="54"/>
      <c r="H13" s="54"/>
      <c r="I13" s="54"/>
      <c r="J13" s="54"/>
      <c r="K13" s="54"/>
      <c r="L13" s="54"/>
      <c r="M13" s="54"/>
      <c r="N13" s="54"/>
      <c r="O13" s="54"/>
      <c r="P13" s="257"/>
    </row>
    <row r="14" spans="2:16" ht="15" customHeight="1" x14ac:dyDescent="0.25">
      <c r="B14" s="256"/>
      <c r="C14" s="54"/>
      <c r="D14" s="86" t="s">
        <v>134</v>
      </c>
      <c r="E14" s="54"/>
      <c r="F14" s="54"/>
      <c r="G14" s="54"/>
      <c r="H14" s="54"/>
      <c r="I14" s="54"/>
      <c r="J14" s="54"/>
      <c r="K14" s="54"/>
      <c r="L14" s="54"/>
      <c r="M14" s="54"/>
      <c r="N14" s="54"/>
      <c r="O14" s="54"/>
      <c r="P14" s="257"/>
    </row>
    <row r="15" spans="2:16" ht="15" customHeight="1" x14ac:dyDescent="0.25">
      <c r="B15" s="256"/>
      <c r="C15" s="54"/>
      <c r="D15" s="86"/>
      <c r="E15" s="54"/>
      <c r="F15" s="54"/>
      <c r="G15" s="54"/>
      <c r="H15" s="54"/>
      <c r="I15" s="54"/>
      <c r="J15" s="54"/>
      <c r="K15" s="54"/>
      <c r="L15" s="54"/>
      <c r="M15" s="54"/>
      <c r="N15" s="54"/>
      <c r="O15" s="54"/>
      <c r="P15" s="257"/>
    </row>
    <row r="16" spans="2:16" ht="15" customHeight="1" x14ac:dyDescent="0.25">
      <c r="B16" s="256"/>
      <c r="C16" s="54"/>
      <c r="D16" s="54" t="s">
        <v>127</v>
      </c>
      <c r="E16" s="54"/>
      <c r="F16" s="457" t="s">
        <v>128</v>
      </c>
      <c r="G16" s="54" t="s">
        <v>129</v>
      </c>
      <c r="H16" s="54"/>
      <c r="I16" s="54"/>
      <c r="J16" s="459"/>
      <c r="K16" s="532" t="s">
        <v>126</v>
      </c>
      <c r="L16" s="533"/>
      <c r="M16" s="54"/>
      <c r="N16" s="54"/>
      <c r="O16" s="54"/>
      <c r="P16" s="257"/>
    </row>
    <row r="17" spans="2:16" ht="15" customHeight="1" x14ac:dyDescent="0.25">
      <c r="B17" s="256"/>
      <c r="C17" s="54"/>
      <c r="D17" s="54" t="s">
        <v>241</v>
      </c>
      <c r="E17" s="54"/>
      <c r="F17" s="54"/>
      <c r="G17" s="54"/>
      <c r="H17" s="54"/>
      <c r="I17" s="54"/>
      <c r="J17" s="54"/>
      <c r="K17" s="54"/>
      <c r="L17" s="54"/>
      <c r="M17" s="54"/>
      <c r="N17" s="54"/>
      <c r="O17" s="54"/>
      <c r="P17" s="257"/>
    </row>
    <row r="18" spans="2:16" ht="15" customHeight="1" x14ac:dyDescent="0.25">
      <c r="B18" s="256"/>
      <c r="C18" s="54"/>
      <c r="D18" s="54"/>
      <c r="E18" s="54"/>
      <c r="F18" s="54"/>
      <c r="G18" s="54"/>
      <c r="H18" s="54"/>
      <c r="I18" s="54"/>
      <c r="J18" s="54"/>
      <c r="K18" s="54"/>
      <c r="L18" s="54"/>
      <c r="M18" s="54"/>
      <c r="N18" s="54"/>
      <c r="O18" s="54"/>
      <c r="P18" s="257"/>
    </row>
    <row r="19" spans="2:16" ht="15" customHeight="1" x14ac:dyDescent="0.25">
      <c r="B19" s="256"/>
      <c r="C19" s="54"/>
      <c r="D19" s="84" t="s">
        <v>104</v>
      </c>
      <c r="E19" s="84" t="s">
        <v>130</v>
      </c>
      <c r="F19" s="54"/>
      <c r="G19" s="54"/>
      <c r="H19" s="54"/>
      <c r="I19" s="54"/>
      <c r="J19" s="54"/>
      <c r="K19" s="54"/>
      <c r="L19" s="54"/>
      <c r="M19" s="54"/>
      <c r="N19" s="54"/>
      <c r="O19" s="54"/>
      <c r="P19" s="257"/>
    </row>
    <row r="20" spans="2:16" ht="15" customHeight="1" x14ac:dyDescent="0.25">
      <c r="B20" s="256"/>
      <c r="C20" s="54"/>
      <c r="D20" s="54"/>
      <c r="E20" s="526" t="s">
        <v>131</v>
      </c>
      <c r="F20" s="527"/>
      <c r="G20" s="527"/>
      <c r="H20" s="527"/>
      <c r="I20" s="527"/>
      <c r="J20" s="527"/>
      <c r="K20" s="527"/>
      <c r="L20" s="527"/>
      <c r="M20" s="527"/>
      <c r="N20" s="527"/>
      <c r="O20" s="259"/>
      <c r="P20" s="257"/>
    </row>
    <row r="21" spans="2:16" ht="15" customHeight="1" x14ac:dyDescent="0.25">
      <c r="B21" s="256"/>
      <c r="C21" s="54"/>
      <c r="D21" s="54"/>
      <c r="E21" s="263" t="s">
        <v>182</v>
      </c>
      <c r="F21" s="453" t="s">
        <v>183</v>
      </c>
      <c r="G21" s="264"/>
      <c r="H21" s="264"/>
      <c r="I21" s="264"/>
      <c r="J21" s="264"/>
      <c r="K21" s="264"/>
      <c r="L21" s="264"/>
      <c r="M21" s="264"/>
      <c r="N21" s="264"/>
      <c r="O21" s="259"/>
      <c r="P21" s="257"/>
    </row>
    <row r="22" spans="2:16" ht="15" customHeight="1" x14ac:dyDescent="0.25">
      <c r="B22" s="256"/>
      <c r="C22" s="54"/>
      <c r="D22" s="54"/>
      <c r="E22" s="263" t="s">
        <v>182</v>
      </c>
      <c r="F22" s="453" t="s">
        <v>184</v>
      </c>
      <c r="G22" s="264"/>
      <c r="H22" s="264"/>
      <c r="I22" s="264"/>
      <c r="J22" s="264"/>
      <c r="K22" s="264"/>
      <c r="L22" s="264"/>
      <c r="M22" s="264"/>
      <c r="N22" s="264"/>
      <c r="O22" s="259"/>
      <c r="P22" s="257"/>
    </row>
    <row r="23" spans="2:16" ht="15" customHeight="1" x14ac:dyDescent="0.25">
      <c r="B23" s="256"/>
      <c r="C23" s="54"/>
      <c r="D23" s="54"/>
      <c r="E23" s="263" t="s">
        <v>182</v>
      </c>
      <c r="F23" s="453" t="s">
        <v>185</v>
      </c>
      <c r="G23" s="264"/>
      <c r="H23" s="264"/>
      <c r="I23" s="264"/>
      <c r="J23" s="264"/>
      <c r="K23" s="264"/>
      <c r="L23" s="264"/>
      <c r="M23" s="264"/>
      <c r="N23" s="264"/>
      <c r="O23" s="259"/>
      <c r="P23" s="257"/>
    </row>
    <row r="24" spans="2:16" ht="15" customHeight="1" x14ac:dyDescent="0.25">
      <c r="B24" s="256"/>
      <c r="C24" s="54"/>
      <c r="D24" s="54"/>
      <c r="E24" s="263" t="s">
        <v>182</v>
      </c>
      <c r="F24" s="453" t="s">
        <v>186</v>
      </c>
      <c r="G24" s="264"/>
      <c r="H24" s="264"/>
      <c r="I24" s="264"/>
      <c r="J24" s="264"/>
      <c r="K24" s="264"/>
      <c r="L24" s="264"/>
      <c r="M24" s="264"/>
      <c r="N24" s="264"/>
      <c r="O24" s="259"/>
      <c r="P24" s="257"/>
    </row>
    <row r="25" spans="2:16" ht="15" customHeight="1" x14ac:dyDescent="0.25">
      <c r="B25" s="256"/>
      <c r="C25" s="54"/>
      <c r="D25" s="54"/>
      <c r="E25" s="265" t="s">
        <v>182</v>
      </c>
      <c r="F25" s="452" t="s">
        <v>242</v>
      </c>
      <c r="G25" s="266"/>
      <c r="H25" s="266"/>
      <c r="I25" s="266"/>
      <c r="J25" s="266"/>
      <c r="K25" s="266"/>
      <c r="L25" s="266"/>
      <c r="M25" s="266"/>
      <c r="N25" s="266"/>
      <c r="O25" s="54"/>
      <c r="P25" s="257"/>
    </row>
    <row r="26" spans="2:16" ht="15" customHeight="1" x14ac:dyDescent="0.25">
      <c r="B26" s="256"/>
      <c r="C26" s="54"/>
      <c r="D26" s="54"/>
      <c r="E26" s="265" t="s">
        <v>187</v>
      </c>
      <c r="F26" s="266" t="s">
        <v>246</v>
      </c>
      <c r="G26" s="266"/>
      <c r="H26" s="266"/>
      <c r="I26" s="266"/>
      <c r="J26" s="266"/>
      <c r="K26" s="266"/>
      <c r="L26" s="266"/>
      <c r="M26" s="266"/>
      <c r="N26" s="266"/>
      <c r="O26" s="54"/>
      <c r="P26" s="257"/>
    </row>
    <row r="27" spans="2:16" ht="15" customHeight="1" x14ac:dyDescent="0.25">
      <c r="B27" s="256"/>
      <c r="C27" s="54"/>
      <c r="D27" s="54"/>
      <c r="E27" s="265" t="s">
        <v>187</v>
      </c>
      <c r="F27" s="266" t="s">
        <v>243</v>
      </c>
      <c r="G27" s="266"/>
      <c r="H27" s="266"/>
      <c r="I27" s="266"/>
      <c r="J27" s="266"/>
      <c r="K27" s="266"/>
      <c r="L27" s="266"/>
      <c r="M27" s="266"/>
      <c r="N27" s="266"/>
      <c r="O27" s="54"/>
      <c r="P27" s="257"/>
    </row>
    <row r="28" spans="2:16" ht="15" customHeight="1" x14ac:dyDescent="0.25">
      <c r="B28" s="256"/>
      <c r="C28" s="54"/>
      <c r="D28" s="54"/>
      <c r="E28" s="265" t="s">
        <v>182</v>
      </c>
      <c r="F28" s="266" t="s">
        <v>311</v>
      </c>
      <c r="G28" s="266"/>
      <c r="H28" s="266"/>
      <c r="I28" s="266"/>
      <c r="J28" s="266"/>
      <c r="K28" s="266"/>
      <c r="L28" s="266"/>
      <c r="M28" s="266"/>
      <c r="N28" s="266"/>
      <c r="O28" s="54"/>
      <c r="P28" s="257"/>
    </row>
    <row r="29" spans="2:16" ht="15" customHeight="1" x14ac:dyDescent="0.25">
      <c r="B29" s="256"/>
      <c r="C29" s="54"/>
      <c r="D29" s="54"/>
      <c r="E29" s="265" t="s">
        <v>187</v>
      </c>
      <c r="F29" s="266" t="s">
        <v>188</v>
      </c>
      <c r="G29" s="266"/>
      <c r="H29" s="266"/>
      <c r="I29" s="266"/>
      <c r="J29" s="266"/>
      <c r="K29" s="266"/>
      <c r="L29" s="266"/>
      <c r="M29" s="266"/>
      <c r="N29" s="266"/>
      <c r="O29" s="54"/>
      <c r="P29" s="257"/>
    </row>
    <row r="30" spans="2:16" ht="15" customHeight="1" x14ac:dyDescent="0.25">
      <c r="B30" s="256"/>
      <c r="C30" s="54"/>
      <c r="D30" s="54"/>
      <c r="E30" s="265" t="s">
        <v>187</v>
      </c>
      <c r="F30" s="266" t="s">
        <v>310</v>
      </c>
      <c r="G30" s="266"/>
      <c r="H30" s="266"/>
      <c r="I30" s="266"/>
      <c r="J30" s="266"/>
      <c r="K30" s="266"/>
      <c r="L30" s="266"/>
      <c r="M30" s="266"/>
      <c r="N30" s="266"/>
      <c r="O30" s="54"/>
      <c r="P30" s="257"/>
    </row>
    <row r="31" spans="2:16" ht="15" customHeight="1" x14ac:dyDescent="0.25">
      <c r="B31" s="256"/>
      <c r="C31" s="54"/>
      <c r="D31" s="54"/>
      <c r="E31" s="265" t="s">
        <v>182</v>
      </c>
      <c r="F31" s="266" t="s">
        <v>244</v>
      </c>
      <c r="G31" s="266"/>
      <c r="H31" s="266"/>
      <c r="I31" s="266"/>
      <c r="J31" s="266"/>
      <c r="K31" s="266"/>
      <c r="L31" s="266"/>
      <c r="M31" s="266"/>
      <c r="N31" s="266"/>
      <c r="O31" s="54"/>
      <c r="P31" s="257"/>
    </row>
    <row r="32" spans="2:16" ht="15" customHeight="1" x14ac:dyDescent="0.25">
      <c r="B32" s="256"/>
      <c r="C32" s="54"/>
      <c r="D32" s="54"/>
      <c r="E32" s="55"/>
      <c r="F32" s="54"/>
      <c r="G32" s="54"/>
      <c r="H32" s="54"/>
      <c r="I32" s="54"/>
      <c r="J32" s="54"/>
      <c r="K32" s="54"/>
      <c r="L32" s="54"/>
      <c r="M32" s="54"/>
      <c r="N32" s="54"/>
      <c r="O32" s="54"/>
      <c r="P32" s="257"/>
    </row>
    <row r="33" spans="2:16" ht="15" customHeight="1" x14ac:dyDescent="0.25">
      <c r="B33" s="256"/>
      <c r="C33" s="54"/>
      <c r="D33" s="84" t="s">
        <v>105</v>
      </c>
      <c r="E33" s="87" t="s">
        <v>132</v>
      </c>
      <c r="F33" s="54"/>
      <c r="G33" s="54"/>
      <c r="H33" s="54"/>
      <c r="I33" s="54"/>
      <c r="J33" s="54"/>
      <c r="K33" s="54"/>
      <c r="L33" s="54"/>
      <c r="M33" s="54"/>
      <c r="N33" s="54"/>
      <c r="O33" s="54"/>
      <c r="P33" s="257"/>
    </row>
    <row r="34" spans="2:16" ht="15" customHeight="1" x14ac:dyDescent="0.25">
      <c r="B34" s="256"/>
      <c r="C34" s="54"/>
      <c r="D34" s="54"/>
      <c r="E34" s="266" t="s">
        <v>245</v>
      </c>
      <c r="F34" s="266"/>
      <c r="G34" s="266"/>
      <c r="H34" s="266"/>
      <c r="I34" s="266"/>
      <c r="J34" s="266"/>
      <c r="K34" s="266"/>
      <c r="L34" s="266"/>
      <c r="M34" s="266"/>
      <c r="N34" s="266"/>
      <c r="O34" s="54"/>
      <c r="P34" s="257"/>
    </row>
    <row r="35" spans="2:16" ht="15" customHeight="1" x14ac:dyDescent="0.25">
      <c r="B35" s="256"/>
      <c r="C35" s="54"/>
      <c r="D35" s="54"/>
      <c r="E35" s="263" t="s">
        <v>182</v>
      </c>
      <c r="F35" s="453" t="s">
        <v>183</v>
      </c>
      <c r="G35" s="266"/>
      <c r="H35" s="266"/>
      <c r="I35" s="266"/>
      <c r="J35" s="266"/>
      <c r="K35" s="266"/>
      <c r="L35" s="266"/>
      <c r="M35" s="266"/>
      <c r="N35" s="266"/>
      <c r="O35" s="54"/>
      <c r="P35" s="257"/>
    </row>
    <row r="36" spans="2:16" ht="15" customHeight="1" x14ac:dyDescent="0.25">
      <c r="B36" s="256"/>
      <c r="C36" s="54"/>
      <c r="D36" s="54"/>
      <c r="E36" s="263" t="s">
        <v>182</v>
      </c>
      <c r="F36" s="453" t="s">
        <v>309</v>
      </c>
      <c r="G36" s="266"/>
      <c r="H36" s="266"/>
      <c r="I36" s="266"/>
      <c r="J36" s="266"/>
      <c r="K36" s="266"/>
      <c r="L36" s="266"/>
      <c r="M36" s="266"/>
      <c r="N36" s="266"/>
      <c r="O36" s="54"/>
      <c r="P36" s="257"/>
    </row>
    <row r="37" spans="2:16" ht="15" customHeight="1" x14ac:dyDescent="0.25">
      <c r="B37" s="256"/>
      <c r="C37" s="54"/>
      <c r="D37" s="54"/>
      <c r="E37" s="265" t="s">
        <v>187</v>
      </c>
      <c r="F37" s="452" t="s">
        <v>242</v>
      </c>
      <c r="G37" s="266"/>
      <c r="H37" s="266"/>
      <c r="I37" s="266"/>
      <c r="J37" s="266"/>
      <c r="K37" s="266"/>
      <c r="L37" s="266"/>
      <c r="M37" s="266"/>
      <c r="N37" s="266"/>
      <c r="O37" s="54"/>
      <c r="P37" s="257"/>
    </row>
    <row r="38" spans="2:16" ht="15" customHeight="1" x14ac:dyDescent="0.25">
      <c r="B38" s="256"/>
      <c r="C38" s="54"/>
      <c r="D38" s="54"/>
      <c r="E38" s="265" t="s">
        <v>182</v>
      </c>
      <c r="F38" s="266" t="s">
        <v>246</v>
      </c>
      <c r="G38" s="266"/>
      <c r="H38" s="266"/>
      <c r="I38" s="266"/>
      <c r="J38" s="266"/>
      <c r="K38" s="266"/>
      <c r="L38" s="266"/>
      <c r="M38" s="266"/>
      <c r="N38" s="266"/>
      <c r="O38" s="54"/>
      <c r="P38" s="257"/>
    </row>
    <row r="39" spans="2:16" ht="15" customHeight="1" x14ac:dyDescent="0.25">
      <c r="B39" s="256"/>
      <c r="C39" s="54"/>
      <c r="D39" s="54"/>
      <c r="E39" s="265" t="s">
        <v>187</v>
      </c>
      <c r="F39" s="266" t="s">
        <v>243</v>
      </c>
      <c r="G39" s="266"/>
      <c r="H39" s="266"/>
      <c r="I39" s="266"/>
      <c r="J39" s="267" t="s">
        <v>251</v>
      </c>
      <c r="K39" s="266"/>
      <c r="L39" s="266"/>
      <c r="M39" s="266"/>
      <c r="N39" s="266"/>
      <c r="O39" s="54"/>
      <c r="P39" s="257"/>
    </row>
    <row r="40" spans="2:16" ht="15" customHeight="1" x14ac:dyDescent="0.25">
      <c r="B40" s="256"/>
      <c r="C40" s="54"/>
      <c r="D40" s="54"/>
      <c r="E40" s="265" t="s">
        <v>187</v>
      </c>
      <c r="F40" s="266" t="s">
        <v>312</v>
      </c>
      <c r="G40" s="266"/>
      <c r="H40" s="266"/>
      <c r="I40" s="266"/>
      <c r="J40" s="266"/>
      <c r="K40" s="266"/>
      <c r="L40" s="266"/>
      <c r="M40" s="266"/>
      <c r="N40" s="266"/>
      <c r="O40" s="54"/>
      <c r="P40" s="257"/>
    </row>
    <row r="41" spans="2:16" ht="15" customHeight="1" x14ac:dyDescent="0.25">
      <c r="B41" s="256"/>
      <c r="C41" s="54"/>
      <c r="D41" s="54"/>
      <c r="E41" s="265" t="s">
        <v>182</v>
      </c>
      <c r="F41" s="266" t="s">
        <v>189</v>
      </c>
      <c r="G41" s="266"/>
      <c r="H41" s="266"/>
      <c r="I41" s="266"/>
      <c r="J41" s="266"/>
      <c r="K41" s="266"/>
      <c r="L41" s="266"/>
      <c r="M41" s="266"/>
      <c r="N41" s="266"/>
      <c r="O41" s="54"/>
      <c r="P41" s="257"/>
    </row>
    <row r="42" spans="2:16" ht="15" customHeight="1" x14ac:dyDescent="0.25">
      <c r="B42" s="256"/>
      <c r="C42" s="54"/>
      <c r="D42" s="54"/>
      <c r="E42" s="55"/>
      <c r="F42" s="54"/>
      <c r="G42" s="54"/>
      <c r="H42" s="54"/>
      <c r="I42" s="54"/>
      <c r="J42" s="54"/>
      <c r="K42" s="54"/>
      <c r="L42" s="54"/>
      <c r="M42" s="54"/>
      <c r="N42" s="54"/>
      <c r="O42" s="54"/>
      <c r="P42" s="257"/>
    </row>
    <row r="43" spans="2:16" ht="15" customHeight="1" x14ac:dyDescent="0.25">
      <c r="B43" s="256"/>
      <c r="C43" s="54"/>
      <c r="D43" s="85" t="s">
        <v>106</v>
      </c>
      <c r="E43" s="87" t="s">
        <v>133</v>
      </c>
      <c r="F43" s="54"/>
      <c r="G43" s="54"/>
      <c r="H43" s="54"/>
      <c r="I43" s="54"/>
      <c r="J43" s="54"/>
      <c r="K43" s="54"/>
      <c r="L43" s="54"/>
      <c r="M43" s="54"/>
      <c r="N43" s="54"/>
      <c r="O43" s="54"/>
      <c r="P43" s="257"/>
    </row>
    <row r="44" spans="2:16" ht="27" customHeight="1" x14ac:dyDescent="0.25">
      <c r="B44" s="256"/>
      <c r="C44" s="54"/>
      <c r="D44" s="54"/>
      <c r="E44" s="525" t="s">
        <v>107</v>
      </c>
      <c r="F44" s="531"/>
      <c r="G44" s="531"/>
      <c r="H44" s="531"/>
      <c r="I44" s="531"/>
      <c r="J44" s="531"/>
      <c r="K44" s="531"/>
      <c r="L44" s="531"/>
      <c r="M44" s="531"/>
      <c r="N44" s="531"/>
      <c r="O44" s="191"/>
      <c r="P44" s="257"/>
    </row>
    <row r="45" spans="2:16" ht="15" customHeight="1" x14ac:dyDescent="0.25">
      <c r="B45" s="256"/>
      <c r="C45" s="54"/>
      <c r="D45" s="54"/>
      <c r="E45" s="266" t="s">
        <v>247</v>
      </c>
      <c r="F45" s="266"/>
      <c r="G45" s="266"/>
      <c r="H45" s="266"/>
      <c r="I45" s="266"/>
      <c r="J45" s="266"/>
      <c r="K45" s="266"/>
      <c r="L45" s="266"/>
      <c r="M45" s="266"/>
      <c r="N45" s="266"/>
      <c r="O45" s="54"/>
      <c r="P45" s="257"/>
    </row>
    <row r="46" spans="2:16" ht="15" customHeight="1" x14ac:dyDescent="0.25">
      <c r="B46" s="256"/>
      <c r="C46" s="54"/>
      <c r="D46" s="54"/>
      <c r="E46" s="54"/>
      <c r="F46" s="54"/>
      <c r="G46" s="54"/>
      <c r="H46" s="54"/>
      <c r="I46" s="54"/>
      <c r="J46" s="54"/>
      <c r="K46" s="54"/>
      <c r="L46" s="54"/>
      <c r="M46" s="54"/>
      <c r="N46" s="54"/>
      <c r="O46" s="54"/>
      <c r="P46" s="257"/>
    </row>
    <row r="47" spans="2:16" ht="15" customHeight="1" x14ac:dyDescent="0.25">
      <c r="B47" s="256"/>
      <c r="C47" s="54"/>
      <c r="D47" s="86" t="s">
        <v>135</v>
      </c>
      <c r="E47" s="54"/>
      <c r="F47" s="54"/>
      <c r="G47" s="54"/>
      <c r="H47" s="54"/>
      <c r="I47" s="54"/>
      <c r="J47" s="54"/>
      <c r="K47" s="54"/>
      <c r="L47" s="54"/>
      <c r="M47" s="54"/>
      <c r="N47" s="54"/>
      <c r="O47" s="54"/>
      <c r="P47" s="257"/>
    </row>
    <row r="48" spans="2:16" ht="15" customHeight="1" x14ac:dyDescent="0.25">
      <c r="B48" s="256"/>
      <c r="C48" s="54"/>
      <c r="D48" s="86"/>
      <c r="E48" s="54" t="s">
        <v>138</v>
      </c>
      <c r="F48" s="54"/>
      <c r="G48" s="54"/>
      <c r="H48" s="54"/>
      <c r="I48" s="54"/>
      <c r="J48" s="54"/>
      <c r="K48" s="461" t="s">
        <v>136</v>
      </c>
      <c r="L48" s="458" t="s">
        <v>249</v>
      </c>
      <c r="M48" s="461" t="s">
        <v>139</v>
      </c>
      <c r="N48" s="54"/>
      <c r="O48" s="54"/>
      <c r="P48" s="257"/>
    </row>
    <row r="49" spans="2:16" ht="15" customHeight="1" x14ac:dyDescent="0.25">
      <c r="B49" s="256"/>
      <c r="C49" s="54"/>
      <c r="D49" s="86"/>
      <c r="E49" s="54"/>
      <c r="F49" s="54"/>
      <c r="G49" s="54"/>
      <c r="H49" s="54"/>
      <c r="I49" s="54"/>
      <c r="J49" s="54"/>
      <c r="K49" s="460"/>
      <c r="L49" s="458"/>
      <c r="M49" s="460"/>
      <c r="N49" s="54"/>
      <c r="O49" s="54"/>
      <c r="P49" s="257"/>
    </row>
    <row r="50" spans="2:16" ht="28.5" customHeight="1" x14ac:dyDescent="0.25">
      <c r="B50" s="256"/>
      <c r="C50" s="54"/>
      <c r="D50" s="85" t="s">
        <v>137</v>
      </c>
      <c r="E50" s="525" t="s">
        <v>248</v>
      </c>
      <c r="F50" s="525"/>
      <c r="G50" s="525"/>
      <c r="H50" s="525"/>
      <c r="I50" s="525"/>
      <c r="J50" s="525"/>
      <c r="K50" s="525"/>
      <c r="L50" s="525"/>
      <c r="M50" s="525"/>
      <c r="N50" s="525"/>
      <c r="O50" s="54"/>
      <c r="P50" s="257"/>
    </row>
    <row r="51" spans="2:16" ht="15" customHeight="1" x14ac:dyDescent="0.25">
      <c r="B51" s="256"/>
      <c r="C51" s="54"/>
      <c r="D51" s="54"/>
      <c r="E51" s="54"/>
      <c r="F51" s="54"/>
      <c r="G51" s="54"/>
      <c r="H51" s="54"/>
      <c r="I51" s="54"/>
      <c r="J51" s="54"/>
      <c r="K51" s="54"/>
      <c r="L51" s="54"/>
      <c r="M51" s="54"/>
      <c r="N51" s="54"/>
      <c r="O51" s="54"/>
      <c r="P51" s="257"/>
    </row>
    <row r="52" spans="2:16" ht="45" customHeight="1" x14ac:dyDescent="0.25">
      <c r="B52" s="256"/>
      <c r="C52" s="54"/>
      <c r="D52" s="85" t="s">
        <v>140</v>
      </c>
      <c r="E52" s="525" t="s">
        <v>252</v>
      </c>
      <c r="F52" s="525"/>
      <c r="G52" s="525"/>
      <c r="H52" s="525"/>
      <c r="I52" s="525"/>
      <c r="J52" s="525"/>
      <c r="K52" s="525"/>
      <c r="L52" s="525"/>
      <c r="M52" s="525"/>
      <c r="N52" s="525"/>
      <c r="O52" s="54"/>
      <c r="P52" s="257"/>
    </row>
    <row r="53" spans="2:16" ht="15" customHeight="1" x14ac:dyDescent="0.25">
      <c r="B53" s="256"/>
      <c r="C53" s="54"/>
      <c r="D53" s="54"/>
      <c r="E53" s="54"/>
      <c r="F53" s="54"/>
      <c r="G53" s="54"/>
      <c r="H53" s="54"/>
      <c r="I53" s="54"/>
      <c r="J53" s="54"/>
      <c r="K53" s="54"/>
      <c r="L53" s="54"/>
      <c r="M53" s="54"/>
      <c r="N53" s="54"/>
      <c r="O53" s="54"/>
      <c r="P53" s="257"/>
    </row>
    <row r="54" spans="2:16" ht="15" customHeight="1" x14ac:dyDescent="0.25">
      <c r="B54" s="256"/>
      <c r="C54" s="54"/>
      <c r="D54" s="84" t="s">
        <v>157</v>
      </c>
      <c r="E54" s="54" t="s">
        <v>323</v>
      </c>
      <c r="F54" s="54"/>
      <c r="G54" s="54"/>
      <c r="H54" s="54"/>
      <c r="I54" s="54"/>
      <c r="J54" s="86"/>
      <c r="K54" s="459"/>
      <c r="L54" s="54"/>
      <c r="M54" s="54"/>
      <c r="N54" s="54"/>
      <c r="O54" s="54"/>
      <c r="P54" s="257"/>
    </row>
    <row r="55" spans="2:16" ht="15" customHeight="1" x14ac:dyDescent="0.25">
      <c r="B55" s="256"/>
      <c r="C55" s="54"/>
      <c r="D55" s="84"/>
      <c r="E55" s="526" t="s">
        <v>313</v>
      </c>
      <c r="F55" s="527"/>
      <c r="G55" s="527"/>
      <c r="H55" s="527"/>
      <c r="I55" s="527"/>
      <c r="J55" s="527"/>
      <c r="K55" s="527"/>
      <c r="L55" s="527"/>
      <c r="M55" s="527"/>
      <c r="N55" s="527"/>
      <c r="O55" s="54"/>
      <c r="P55" s="257"/>
    </row>
    <row r="56" spans="2:16" ht="15" customHeight="1" x14ac:dyDescent="0.25">
      <c r="B56" s="256"/>
      <c r="C56" s="54"/>
      <c r="D56" s="84"/>
      <c r="E56" s="54"/>
      <c r="F56" s="54"/>
      <c r="G56" s="54"/>
      <c r="H56" s="54"/>
      <c r="I56" s="54"/>
      <c r="J56" s="54"/>
      <c r="K56" s="86"/>
      <c r="L56" s="54"/>
      <c r="M56" s="54"/>
      <c r="N56" s="54"/>
      <c r="O56" s="54"/>
      <c r="P56" s="257"/>
    </row>
    <row r="57" spans="2:16" ht="15" customHeight="1" thickBot="1" x14ac:dyDescent="0.3">
      <c r="B57" s="260"/>
      <c r="C57" s="261"/>
      <c r="D57" s="261"/>
      <c r="E57" s="261"/>
      <c r="F57" s="261"/>
      <c r="G57" s="261"/>
      <c r="H57" s="261"/>
      <c r="I57" s="261"/>
      <c r="J57" s="261"/>
      <c r="K57" s="261"/>
      <c r="L57" s="261"/>
      <c r="M57" s="261"/>
      <c r="N57" s="261"/>
      <c r="O57" s="261"/>
      <c r="P57" s="262"/>
    </row>
    <row r="58" spans="2:16" ht="15" customHeight="1" thickTop="1" x14ac:dyDescent="0.25"/>
  </sheetData>
  <sheetProtection algorithmName="SHA-512" hashValue="xYS5caX7ZPu8A4WtZmTzvljmOWOdRlKx/tTNK1ky7jAF7xv08FQWM4vGcnP5wINfmVVWGWcEBKN+iaCc3n3g+Q==" saltValue="ZlzyNYBt/PfpN9K+HgJcaw==" spinCount="100000" sheet="1" objects="1" scenarios="1"/>
  <mergeCells count="11">
    <mergeCell ref="E52:N52"/>
    <mergeCell ref="E55:N55"/>
    <mergeCell ref="D9:F9"/>
    <mergeCell ref="G9:I9"/>
    <mergeCell ref="D4:L4"/>
    <mergeCell ref="E44:N44"/>
    <mergeCell ref="E20:N20"/>
    <mergeCell ref="D8:N8"/>
    <mergeCell ref="E50:N50"/>
    <mergeCell ref="K16:L16"/>
    <mergeCell ref="I11:J11"/>
  </mergeCells>
  <hyperlinks>
    <hyperlink ref="F16" location="Startpagina!A1" display="Startpagina "/>
    <hyperlink ref="K16" location="'Invoer gegevens'!A1" display="Invoer Gegevens"/>
    <hyperlink ref="K48" location="Loonkosten!A1" display="Loonkosten"/>
    <hyperlink ref="M48" location="Inkomensgevolgen!A1" display="Inkomensgevolgen"/>
    <hyperlink ref="G9:I9" r:id="rId1" display="Werkgeverlasten PO 2025"/>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3"/>
  <dimension ref="A1:AS209"/>
  <sheetViews>
    <sheetView topLeftCell="A34" zoomScaleNormal="100" workbookViewId="0">
      <selection activeCell="A33" sqref="A8:XFD33"/>
    </sheetView>
  </sheetViews>
  <sheetFormatPr defaultColWidth="9.140625" defaultRowHeight="15" x14ac:dyDescent="0.25"/>
  <cols>
    <col min="1" max="1" width="3.28515625" style="36" customWidth="1"/>
    <col min="2" max="2" width="3" style="36" customWidth="1"/>
    <col min="3" max="3" width="2.5703125" style="58" customWidth="1"/>
    <col min="4" max="4" width="29" style="58" bestFit="1" customWidth="1"/>
    <col min="5" max="5" width="13.7109375" style="58" customWidth="1"/>
    <col min="6" max="6" width="13.85546875" style="58" bestFit="1" customWidth="1"/>
    <col min="7" max="7" width="3.42578125" style="58" bestFit="1" customWidth="1"/>
    <col min="8" max="8" width="1.7109375" style="36" customWidth="1"/>
    <col min="9" max="9" width="2.85546875" style="36" customWidth="1"/>
    <col min="10" max="10" width="2.5703125" style="36" customWidth="1"/>
    <col min="11" max="11" width="1.85546875" style="36" customWidth="1"/>
    <col min="12" max="12" width="26.5703125" style="36" bestFit="1" customWidth="1"/>
    <col min="13" max="14" width="13.7109375" style="36" customWidth="1"/>
    <col min="15" max="15" width="1.7109375" style="36" customWidth="1"/>
    <col min="16" max="17" width="2.28515625" style="36" customWidth="1"/>
    <col min="18" max="18" width="3.28515625" style="36" customWidth="1"/>
    <col min="19" max="19" width="1.85546875" style="36" customWidth="1"/>
    <col min="20" max="20" width="39.85546875" style="36" bestFit="1" customWidth="1"/>
    <col min="21" max="22" width="13.7109375" style="58" customWidth="1"/>
    <col min="23" max="23" width="2.28515625" style="58" customWidth="1"/>
    <col min="24" max="24" width="2.85546875" style="36" customWidth="1"/>
    <col min="25" max="31" width="9.140625" style="36"/>
    <col min="32" max="16384" width="9.140625" style="58"/>
  </cols>
  <sheetData>
    <row r="1" spans="2:45" s="36" customFormat="1" x14ac:dyDescent="0.25"/>
    <row r="2" spans="2:45" s="36" customFormat="1" x14ac:dyDescent="0.25"/>
    <row r="3" spans="2:45" s="36" customFormat="1" x14ac:dyDescent="0.25"/>
    <row r="4" spans="2:45" s="36" customFormat="1" x14ac:dyDescent="0.25"/>
    <row r="5" spans="2:45" s="36" customFormat="1" x14ac:dyDescent="0.25"/>
    <row r="6" spans="2:45" s="36" customFormat="1" x14ac:dyDescent="0.25"/>
    <row r="7" spans="2:45" s="36" customFormat="1" ht="15.75" thickBot="1" x14ac:dyDescent="0.3"/>
    <row r="8" spans="2:45" s="36" customFormat="1" ht="15.75" thickTop="1" x14ac:dyDescent="0.25">
      <c r="B8" s="155"/>
      <c r="C8" s="156"/>
      <c r="D8" s="157"/>
      <c r="E8" s="157"/>
      <c r="F8" s="157"/>
      <c r="G8" s="157"/>
      <c r="H8" s="158"/>
      <c r="I8" s="57"/>
      <c r="J8" s="155"/>
      <c r="K8" s="156"/>
      <c r="L8" s="156"/>
      <c r="M8" s="156"/>
      <c r="N8" s="156"/>
      <c r="O8" s="156"/>
      <c r="P8" s="166"/>
      <c r="Q8" s="38"/>
      <c r="R8" s="155"/>
      <c r="S8" s="156"/>
      <c r="T8" s="156"/>
      <c r="U8" s="156"/>
      <c r="V8" s="156"/>
      <c r="W8" s="156"/>
      <c r="X8" s="166"/>
    </row>
    <row r="9" spans="2:45" s="36" customFormat="1" ht="23.25" x14ac:dyDescent="0.25">
      <c r="B9" s="159"/>
      <c r="C9" s="153" t="s">
        <v>121</v>
      </c>
      <c r="D9" s="38"/>
      <c r="E9" s="40"/>
      <c r="F9" s="40"/>
      <c r="G9" s="40"/>
      <c r="H9" s="160"/>
      <c r="I9" s="57"/>
      <c r="J9" s="159"/>
      <c r="K9" s="153" t="s">
        <v>103</v>
      </c>
      <c r="L9" s="154"/>
      <c r="M9" s="38"/>
      <c r="N9" s="38"/>
      <c r="O9" s="38"/>
      <c r="P9" s="161"/>
      <c r="Q9" s="38"/>
      <c r="R9" s="159"/>
      <c r="S9" s="153" t="s">
        <v>219</v>
      </c>
      <c r="T9" s="38"/>
      <c r="U9" s="38"/>
      <c r="V9" s="38"/>
      <c r="W9" s="38"/>
      <c r="X9" s="161"/>
    </row>
    <row r="10" spans="2:45" s="36" customFormat="1" x14ac:dyDescent="0.25">
      <c r="B10" s="159"/>
      <c r="C10" s="38"/>
      <c r="D10" s="40"/>
      <c r="E10" s="40"/>
      <c r="F10" s="40"/>
      <c r="G10" s="40"/>
      <c r="H10" s="160"/>
      <c r="I10" s="57"/>
      <c r="J10" s="159"/>
      <c r="K10" s="38"/>
      <c r="L10" s="38"/>
      <c r="M10" s="38"/>
      <c r="N10" s="38"/>
      <c r="O10" s="38"/>
      <c r="P10" s="161"/>
      <c r="Q10" s="38"/>
      <c r="R10" s="159"/>
      <c r="S10" s="38"/>
      <c r="T10" s="38"/>
      <c r="U10" s="38"/>
      <c r="V10" s="38"/>
      <c r="W10" s="38"/>
      <c r="X10" s="161"/>
    </row>
    <row r="11" spans="2:45" ht="15" customHeight="1" x14ac:dyDescent="0.25">
      <c r="B11" s="159"/>
      <c r="C11" s="37"/>
      <c r="D11" s="39"/>
      <c r="E11" s="39"/>
      <c r="F11" s="39"/>
      <c r="G11" s="37"/>
      <c r="H11" s="161"/>
      <c r="J11" s="159"/>
      <c r="K11" s="39"/>
      <c r="L11" s="39"/>
      <c r="M11" s="39"/>
      <c r="N11" s="39"/>
      <c r="O11" s="39"/>
      <c r="P11" s="161"/>
      <c r="Q11" s="38"/>
      <c r="R11" s="159"/>
      <c r="S11" s="37"/>
      <c r="T11" s="41"/>
      <c r="U11" s="168" t="s">
        <v>99</v>
      </c>
      <c r="V11" s="168" t="s">
        <v>100</v>
      </c>
      <c r="W11" s="37"/>
      <c r="X11" s="161"/>
      <c r="AF11" s="36"/>
      <c r="AG11" s="36"/>
      <c r="AH11" s="36"/>
      <c r="AI11" s="36"/>
      <c r="AJ11" s="36"/>
      <c r="AK11" s="36"/>
      <c r="AL11" s="36"/>
      <c r="AM11" s="36"/>
      <c r="AN11" s="36"/>
      <c r="AO11" s="36"/>
      <c r="AP11" s="36"/>
      <c r="AQ11" s="36"/>
      <c r="AR11" s="36"/>
      <c r="AS11" s="36"/>
    </row>
    <row r="12" spans="2:45" x14ac:dyDescent="0.25">
      <c r="B12" s="159"/>
      <c r="C12" s="37"/>
      <c r="D12" s="59" t="s">
        <v>81</v>
      </c>
      <c r="E12" s="60"/>
      <c r="F12" s="61"/>
      <c r="G12" s="37"/>
      <c r="H12" s="161"/>
      <c r="J12" s="159"/>
      <c r="K12" s="39"/>
      <c r="L12" s="59" t="s">
        <v>81</v>
      </c>
      <c r="M12" s="60"/>
      <c r="N12" s="61"/>
      <c r="O12" s="39"/>
      <c r="P12" s="161"/>
      <c r="Q12" s="38"/>
      <c r="R12" s="159"/>
      <c r="S12" s="37"/>
      <c r="T12" s="95" t="s">
        <v>237</v>
      </c>
      <c r="U12" s="189">
        <v>0.15</v>
      </c>
      <c r="V12" s="190">
        <v>0.08</v>
      </c>
      <c r="W12" s="37"/>
      <c r="X12" s="161"/>
      <c r="AF12" s="36"/>
      <c r="AG12" s="36"/>
      <c r="AH12" s="36"/>
      <c r="AI12" s="36"/>
      <c r="AJ12" s="36"/>
      <c r="AK12" s="36"/>
      <c r="AL12" s="36"/>
      <c r="AM12" s="36"/>
      <c r="AN12" s="36"/>
      <c r="AO12" s="36"/>
      <c r="AP12" s="36"/>
      <c r="AQ12" s="36"/>
      <c r="AR12" s="36"/>
      <c r="AS12" s="36"/>
    </row>
    <row r="13" spans="2:45" x14ac:dyDescent="0.25">
      <c r="B13" s="159"/>
      <c r="C13" s="37"/>
      <c r="D13" s="114" t="s">
        <v>183</v>
      </c>
      <c r="E13" s="536"/>
      <c r="F13" s="537"/>
      <c r="G13" s="37"/>
      <c r="H13" s="161"/>
      <c r="J13" s="159"/>
      <c r="K13" s="37"/>
      <c r="L13" s="114" t="s">
        <v>183</v>
      </c>
      <c r="M13" s="536" t="s">
        <v>294</v>
      </c>
      <c r="N13" s="543"/>
      <c r="O13" s="37"/>
      <c r="P13" s="161"/>
      <c r="Q13" s="38"/>
      <c r="R13" s="159"/>
      <c r="S13" s="37"/>
      <c r="T13" s="37"/>
      <c r="U13" s="37"/>
      <c r="V13" s="37"/>
      <c r="W13" s="37"/>
      <c r="X13" s="161"/>
      <c r="AF13" s="36"/>
      <c r="AG13" s="36"/>
      <c r="AH13" s="36"/>
      <c r="AI13" s="36"/>
      <c r="AJ13" s="36"/>
      <c r="AK13" s="36"/>
      <c r="AL13" s="36"/>
      <c r="AM13" s="36"/>
      <c r="AN13" s="36"/>
      <c r="AO13" s="36"/>
      <c r="AP13" s="36"/>
      <c r="AQ13" s="36"/>
      <c r="AR13" s="36"/>
      <c r="AS13" s="36"/>
    </row>
    <row r="14" spans="2:45" ht="15.75" thickBot="1" x14ac:dyDescent="0.3">
      <c r="B14" s="159"/>
      <c r="C14" s="37"/>
      <c r="D14" s="114" t="s">
        <v>31</v>
      </c>
      <c r="E14" s="170">
        <v>23012</v>
      </c>
      <c r="F14" s="63"/>
      <c r="G14" s="37"/>
      <c r="H14" s="161"/>
      <c r="J14" s="159"/>
      <c r="K14" s="37"/>
      <c r="L14" s="114" t="s">
        <v>31</v>
      </c>
      <c r="M14" s="181">
        <v>28491</v>
      </c>
      <c r="N14" s="63"/>
      <c r="O14" s="37"/>
      <c r="P14" s="161"/>
      <c r="Q14" s="38"/>
      <c r="R14" s="163"/>
      <c r="S14" s="164"/>
      <c r="T14" s="164"/>
      <c r="U14" s="164"/>
      <c r="V14" s="164"/>
      <c r="W14" s="164"/>
      <c r="X14" s="165"/>
      <c r="AF14" s="36"/>
      <c r="AG14" s="36"/>
      <c r="AH14" s="36"/>
      <c r="AI14" s="36"/>
      <c r="AJ14" s="36"/>
      <c r="AK14" s="36"/>
      <c r="AL14" s="36"/>
      <c r="AM14" s="36"/>
      <c r="AN14" s="36"/>
      <c r="AO14" s="36"/>
      <c r="AP14" s="36"/>
      <c r="AQ14" s="36"/>
      <c r="AR14" s="36"/>
      <c r="AS14" s="36"/>
    </row>
    <row r="15" spans="2:45" ht="16.5" thickTop="1" thickBot="1" x14ac:dyDescent="0.3">
      <c r="B15" s="159"/>
      <c r="C15" s="37"/>
      <c r="D15" s="114" t="s">
        <v>206</v>
      </c>
      <c r="E15" s="171" t="str">
        <f>IF(E14&lt;&gt;"",TEXT(DAY(E14),0)&amp;"-"&amp;TEXT(VALUE(MONTH(E14)),0)&amp;"-"&amp;TEXT(VALUE(YEAR(E14))+VALUE(MID(E16,1,2)),0),"")</f>
        <v>1-1-2030</v>
      </c>
      <c r="F15" s="63"/>
      <c r="G15" s="37"/>
      <c r="H15" s="161"/>
      <c r="J15" s="159"/>
      <c r="K15" s="37"/>
      <c r="L15" s="114" t="s">
        <v>206</v>
      </c>
      <c r="M15" s="182" t="str">
        <f>IF(M14&lt;&gt;"",TEXT(DAY(M14),0)&amp;"-"&amp;TEXT(VALUE(MONTH(M14)),0)&amp;"-"&amp;TEXT(VALUE(YEAR(M14))+VALUE(MID(M16,1,2)),0),"")</f>
        <v>1-1-2045</v>
      </c>
      <c r="N15" s="61"/>
      <c r="O15" s="37"/>
      <c r="P15" s="161"/>
      <c r="Q15" s="38"/>
      <c r="U15" s="36"/>
      <c r="V15" s="36"/>
      <c r="W15" s="36"/>
      <c r="AF15" s="36"/>
      <c r="AG15" s="36"/>
      <c r="AH15" s="36"/>
      <c r="AI15" s="36"/>
      <c r="AJ15" s="36"/>
      <c r="AK15" s="36"/>
      <c r="AL15" s="36"/>
      <c r="AM15" s="36"/>
      <c r="AN15" s="36"/>
      <c r="AO15" s="36"/>
      <c r="AP15" s="36"/>
      <c r="AQ15" s="36"/>
      <c r="AR15" s="36"/>
      <c r="AS15" s="36"/>
    </row>
    <row r="16" spans="2:45" ht="15.75" thickTop="1" x14ac:dyDescent="0.25">
      <c r="B16" s="159"/>
      <c r="C16" s="37"/>
      <c r="D16" s="114" t="s">
        <v>89</v>
      </c>
      <c r="E16" s="540" t="str">
        <f>IF(E14&lt;&gt;"",VLOOKUP(E14,AOW_leeftijd,2,TRUE),"")</f>
        <v>67 jaar</v>
      </c>
      <c r="F16" s="541"/>
      <c r="G16" s="37"/>
      <c r="H16" s="161"/>
      <c r="J16" s="159"/>
      <c r="K16" s="37"/>
      <c r="L16" s="114" t="s">
        <v>89</v>
      </c>
      <c r="M16" s="540" t="str">
        <f>IF(M14&lt;&gt;"",VLOOKUP(M14,Hulptabellen!$P$6:$S$13,2,TRUE),"")</f>
        <v>67 jaar</v>
      </c>
      <c r="N16" s="541"/>
      <c r="O16" s="37"/>
      <c r="P16" s="161"/>
      <c r="Q16" s="38"/>
      <c r="R16" s="194"/>
      <c r="S16" s="195"/>
      <c r="T16" s="195"/>
      <c r="U16" s="195"/>
      <c r="V16" s="195"/>
      <c r="W16" s="195"/>
      <c r="X16" s="196"/>
      <c r="AF16" s="36"/>
      <c r="AG16" s="36"/>
      <c r="AH16" s="36"/>
      <c r="AI16" s="36"/>
      <c r="AJ16" s="36"/>
      <c r="AK16" s="36"/>
      <c r="AL16" s="36"/>
      <c r="AM16" s="36"/>
      <c r="AN16" s="36"/>
      <c r="AO16" s="36"/>
      <c r="AP16" s="36"/>
      <c r="AQ16" s="36"/>
      <c r="AR16" s="36"/>
      <c r="AS16" s="36"/>
    </row>
    <row r="17" spans="2:45" ht="18.75" x14ac:dyDescent="0.3">
      <c r="B17" s="159"/>
      <c r="C17" s="37"/>
      <c r="D17" s="62"/>
      <c r="E17" s="169"/>
      <c r="F17" s="169"/>
      <c r="G17" s="37"/>
      <c r="H17" s="161"/>
      <c r="J17" s="159"/>
      <c r="K17" s="37"/>
      <c r="L17" s="62"/>
      <c r="M17" s="64"/>
      <c r="N17" s="61"/>
      <c r="O17" s="37"/>
      <c r="P17" s="161"/>
      <c r="Q17" s="38"/>
      <c r="R17" s="197"/>
      <c r="S17" s="167"/>
      <c r="T17" s="202" t="s">
        <v>158</v>
      </c>
      <c r="U17" s="167"/>
      <c r="V17" s="167"/>
      <c r="W17" s="167"/>
      <c r="X17" s="198"/>
      <c r="AF17" s="36"/>
      <c r="AG17" s="36"/>
      <c r="AH17" s="36"/>
      <c r="AI17" s="36"/>
      <c r="AJ17" s="36"/>
      <c r="AK17" s="36"/>
      <c r="AL17" s="36"/>
      <c r="AM17" s="36"/>
      <c r="AN17" s="36"/>
      <c r="AO17" s="36"/>
      <c r="AP17" s="36"/>
      <c r="AQ17" s="36"/>
      <c r="AR17" s="36"/>
      <c r="AS17" s="36"/>
    </row>
    <row r="18" spans="2:45" x14ac:dyDescent="0.25">
      <c r="B18" s="159"/>
      <c r="C18" s="37"/>
      <c r="D18" s="62"/>
      <c r="E18" s="510" t="s">
        <v>164</v>
      </c>
      <c r="F18" s="510" t="s">
        <v>165</v>
      </c>
      <c r="G18" s="511" t="s">
        <v>329</v>
      </c>
      <c r="H18" s="161"/>
      <c r="J18" s="159"/>
      <c r="K18" s="37"/>
      <c r="L18" s="62"/>
      <c r="M18" s="62"/>
      <c r="N18" s="62"/>
      <c r="O18" s="37"/>
      <c r="P18" s="161"/>
      <c r="Q18" s="38"/>
      <c r="R18" s="197"/>
      <c r="S18" s="193"/>
      <c r="T18" s="193"/>
      <c r="U18" s="193"/>
      <c r="V18" s="193"/>
      <c r="W18" s="193"/>
      <c r="X18" s="198"/>
      <c r="AF18" s="36"/>
      <c r="AG18" s="36"/>
      <c r="AH18" s="36"/>
      <c r="AI18" s="36"/>
      <c r="AJ18" s="36"/>
      <c r="AK18" s="36"/>
      <c r="AL18" s="36"/>
      <c r="AM18" s="36"/>
      <c r="AN18" s="36"/>
      <c r="AO18" s="36"/>
      <c r="AP18" s="36"/>
      <c r="AQ18" s="36"/>
      <c r="AR18" s="36"/>
      <c r="AS18" s="36"/>
    </row>
    <row r="19" spans="2:45" x14ac:dyDescent="0.25">
      <c r="B19" s="159"/>
      <c r="C19" s="37"/>
      <c r="D19" s="114" t="s">
        <v>235</v>
      </c>
      <c r="E19" s="172">
        <v>2025</v>
      </c>
      <c r="F19" s="464" t="s">
        <v>171</v>
      </c>
      <c r="G19" s="470">
        <f>VLOOKUP(F19,Hulptabellen!$I$17:$J$28,2,FALSE)</f>
        <v>1</v>
      </c>
      <c r="H19" s="162"/>
      <c r="J19" s="159"/>
      <c r="K19" s="37"/>
      <c r="L19" s="62"/>
      <c r="M19" s="62"/>
      <c r="N19" s="62"/>
      <c r="O19" s="37"/>
      <c r="P19" s="161"/>
      <c r="Q19" s="38"/>
      <c r="R19" s="197"/>
      <c r="S19" s="193"/>
      <c r="T19" s="538" t="s">
        <v>250</v>
      </c>
      <c r="U19" s="539"/>
      <c r="V19" s="539"/>
      <c r="W19" s="193"/>
      <c r="X19" s="198"/>
      <c r="AF19" s="36"/>
      <c r="AG19" s="36"/>
      <c r="AH19" s="36"/>
      <c r="AI19" s="36"/>
      <c r="AJ19" s="36"/>
      <c r="AK19" s="36"/>
      <c r="AL19" s="36"/>
      <c r="AM19" s="36"/>
      <c r="AN19" s="36"/>
      <c r="AO19" s="36"/>
      <c r="AP19" s="36"/>
      <c r="AQ19" s="36"/>
      <c r="AR19" s="36"/>
      <c r="AS19" s="36"/>
    </row>
    <row r="20" spans="2:45" x14ac:dyDescent="0.25">
      <c r="B20" s="159"/>
      <c r="C20" s="37"/>
      <c r="D20" s="114" t="s">
        <v>236</v>
      </c>
      <c r="E20" s="172">
        <v>2030</v>
      </c>
      <c r="F20" s="464" t="s">
        <v>173</v>
      </c>
      <c r="G20" s="470">
        <f>VLOOKUP(F20,Hulptabellen!$I$17:$J$28,2,FALSE)</f>
        <v>3</v>
      </c>
      <c r="H20" s="162"/>
      <c r="J20" s="159"/>
      <c r="K20" s="37"/>
      <c r="L20" s="62"/>
      <c r="M20" s="62"/>
      <c r="N20" s="62"/>
      <c r="O20" s="37"/>
      <c r="P20" s="161"/>
      <c r="Q20" s="38"/>
      <c r="R20" s="197"/>
      <c r="S20" s="193"/>
      <c r="T20" s="539"/>
      <c r="U20" s="539"/>
      <c r="V20" s="539"/>
      <c r="W20" s="193"/>
      <c r="X20" s="198"/>
      <c r="AF20" s="36"/>
      <c r="AG20" s="36"/>
      <c r="AH20" s="36"/>
      <c r="AI20" s="36"/>
      <c r="AJ20" s="36"/>
      <c r="AK20" s="36"/>
      <c r="AL20" s="36"/>
      <c r="AM20" s="36"/>
      <c r="AN20" s="36"/>
      <c r="AO20" s="36"/>
      <c r="AP20" s="36"/>
      <c r="AQ20" s="36"/>
      <c r="AR20" s="36"/>
      <c r="AS20" s="36"/>
    </row>
    <row r="21" spans="2:45" x14ac:dyDescent="0.25">
      <c r="B21" s="159"/>
      <c r="C21" s="37"/>
      <c r="D21" s="62"/>
      <c r="E21" s="169"/>
      <c r="F21" s="169"/>
      <c r="G21" s="37"/>
      <c r="H21" s="161"/>
      <c r="J21" s="159"/>
      <c r="K21" s="37"/>
      <c r="L21" s="62"/>
      <c r="M21" s="115"/>
      <c r="N21" s="41"/>
      <c r="O21" s="37"/>
      <c r="P21" s="161"/>
      <c r="Q21" s="38"/>
      <c r="R21" s="197"/>
      <c r="S21" s="193"/>
      <c r="T21" s="539"/>
      <c r="U21" s="539"/>
      <c r="V21" s="539"/>
      <c r="W21" s="193"/>
      <c r="X21" s="198"/>
      <c r="AF21" s="36"/>
      <c r="AG21" s="36"/>
      <c r="AH21" s="36"/>
      <c r="AI21" s="36"/>
      <c r="AJ21" s="36"/>
      <c r="AK21" s="36"/>
      <c r="AL21" s="36"/>
      <c r="AM21" s="36"/>
      <c r="AN21" s="36"/>
      <c r="AO21" s="36"/>
      <c r="AP21" s="36"/>
      <c r="AQ21" s="36"/>
      <c r="AR21" s="36"/>
      <c r="AS21" s="36"/>
    </row>
    <row r="22" spans="2:45" x14ac:dyDescent="0.25">
      <c r="B22" s="159"/>
      <c r="C22" s="37"/>
      <c r="D22" s="65" t="s">
        <v>5</v>
      </c>
      <c r="E22" s="168" t="s">
        <v>99</v>
      </c>
      <c r="F22" s="168" t="s">
        <v>100</v>
      </c>
      <c r="G22" s="37"/>
      <c r="H22" s="161"/>
      <c r="J22" s="159"/>
      <c r="K22" s="37"/>
      <c r="L22" s="65" t="s">
        <v>5</v>
      </c>
      <c r="M22" s="168" t="s">
        <v>99</v>
      </c>
      <c r="N22" s="168" t="s">
        <v>100</v>
      </c>
      <c r="O22" s="37"/>
      <c r="P22" s="161"/>
      <c r="Q22" s="38"/>
      <c r="R22" s="197"/>
      <c r="S22" s="193"/>
      <c r="T22" s="539"/>
      <c r="U22" s="539"/>
      <c r="V22" s="539"/>
      <c r="W22" s="193"/>
      <c r="X22" s="198"/>
      <c r="AF22" s="36"/>
      <c r="AG22" s="36"/>
      <c r="AH22" s="36"/>
      <c r="AI22" s="36"/>
      <c r="AJ22" s="36"/>
      <c r="AK22" s="36"/>
      <c r="AL22" s="36"/>
      <c r="AM22" s="36"/>
      <c r="AN22" s="36"/>
      <c r="AO22" s="36"/>
      <c r="AP22" s="36"/>
      <c r="AQ22" s="36"/>
      <c r="AR22" s="36"/>
      <c r="AS22" s="36"/>
    </row>
    <row r="23" spans="2:45" ht="15" customHeight="1" x14ac:dyDescent="0.25">
      <c r="B23" s="159"/>
      <c r="C23" s="37"/>
      <c r="D23" s="114" t="s">
        <v>230</v>
      </c>
      <c r="E23" s="173" t="s">
        <v>67</v>
      </c>
      <c r="F23" s="176" t="s">
        <v>261</v>
      </c>
      <c r="G23" s="37"/>
      <c r="H23" s="161"/>
      <c r="I23"/>
      <c r="J23" s="159"/>
      <c r="K23" s="37"/>
      <c r="L23" s="114" t="s">
        <v>230</v>
      </c>
      <c r="M23" s="173" t="s">
        <v>261</v>
      </c>
      <c r="N23" s="176" t="s">
        <v>261</v>
      </c>
      <c r="O23" s="37"/>
      <c r="P23" s="161"/>
      <c r="Q23" s="38"/>
      <c r="R23" s="197"/>
      <c r="S23" s="193"/>
      <c r="T23" s="193"/>
      <c r="U23" s="193"/>
      <c r="V23" s="193"/>
      <c r="W23" s="193"/>
      <c r="X23" s="198"/>
      <c r="AF23" s="36"/>
      <c r="AG23" s="36"/>
      <c r="AH23" s="36"/>
      <c r="AI23" s="36"/>
      <c r="AJ23" s="36"/>
      <c r="AK23" s="36"/>
      <c r="AL23" s="36"/>
      <c r="AM23" s="36"/>
      <c r="AN23" s="36"/>
      <c r="AO23" s="36"/>
      <c r="AP23" s="36"/>
      <c r="AQ23" s="36"/>
      <c r="AR23" s="36"/>
      <c r="AS23" s="36"/>
    </row>
    <row r="24" spans="2:45" ht="15" customHeight="1" thickBot="1" x14ac:dyDescent="0.3">
      <c r="B24" s="159"/>
      <c r="C24" s="37"/>
      <c r="D24" s="114" t="s">
        <v>330</v>
      </c>
      <c r="E24" s="173">
        <v>12</v>
      </c>
      <c r="F24" s="465">
        <v>11</v>
      </c>
      <c r="G24" s="37"/>
      <c r="H24" s="161"/>
      <c r="I24" s="66" t="s">
        <v>80</v>
      </c>
      <c r="J24" s="159"/>
      <c r="K24" s="37"/>
      <c r="L24" s="114" t="s">
        <v>231</v>
      </c>
      <c r="M24" s="183">
        <v>9</v>
      </c>
      <c r="N24" s="184">
        <v>9</v>
      </c>
      <c r="O24" s="37"/>
      <c r="P24" s="161"/>
      <c r="Q24" s="38"/>
      <c r="R24" s="199"/>
      <c r="S24" s="200"/>
      <c r="T24" s="200"/>
      <c r="U24" s="200"/>
      <c r="V24" s="200"/>
      <c r="W24" s="200"/>
      <c r="X24" s="201"/>
      <c r="AF24" s="36"/>
      <c r="AG24" s="36"/>
      <c r="AH24" s="36"/>
      <c r="AI24" s="36"/>
      <c r="AJ24" s="36"/>
      <c r="AK24" s="36"/>
      <c r="AL24" s="36"/>
      <c r="AM24" s="36"/>
      <c r="AN24" s="36"/>
      <c r="AO24" s="36"/>
      <c r="AP24" s="36"/>
      <c r="AQ24" s="36"/>
      <c r="AR24" s="36"/>
      <c r="AS24" s="36"/>
    </row>
    <row r="25" spans="2:45" ht="15" customHeight="1" thickTop="1" x14ac:dyDescent="0.25">
      <c r="B25" s="159"/>
      <c r="C25" s="37"/>
      <c r="D25" s="114" t="s">
        <v>232</v>
      </c>
      <c r="E25" s="174">
        <f>IF(E23&lt;&gt;"",VLOOKUP(E23,Saltab2023,MIN(E24,VLOOKUP(E23,Saltab2023,22,FALSE))+5,FALSE),"")</f>
        <v>6149</v>
      </c>
      <c r="F25" s="177">
        <f>IF(F23&lt;&gt;"",VLOOKUP(F23,Saltab2023,MIN(F24,VLOOKUP(F23,'Tabellen PO-Raad'!$A$82:$W$114,22,FALSE))+5,FALSE),"")</f>
        <v>5004</v>
      </c>
      <c r="G25" s="37"/>
      <c r="H25" s="161"/>
      <c r="J25" s="159"/>
      <c r="K25" s="37"/>
      <c r="L25" s="114" t="s">
        <v>232</v>
      </c>
      <c r="M25" s="174">
        <f>IF(M23&lt;&gt;"",VLOOKUP(M23,'Tabellen PO-Raad'!$A$82:$W$114,MIN(M24,VLOOKUP(M23,Saltab2023,22,FALSE))+5,FALSE),"")</f>
        <v>4534</v>
      </c>
      <c r="N25" s="174">
        <f>IF(N23&lt;&gt;"",VLOOKUP(N23,'Tabellen PO-Raad'!$A$82:$W$114,MIN(N24,VLOOKUP(N23,Saltab2023,22,FALSE))+5,FALSE),"")</f>
        <v>4534</v>
      </c>
      <c r="O25" s="37"/>
      <c r="P25" s="161"/>
      <c r="Q25" s="38"/>
      <c r="U25" s="36"/>
      <c r="V25" s="36"/>
      <c r="W25" s="36"/>
      <c r="AF25" s="36"/>
      <c r="AG25" s="36"/>
      <c r="AH25" s="36"/>
      <c r="AI25" s="36"/>
      <c r="AJ25" s="36"/>
      <c r="AK25" s="36"/>
      <c r="AL25" s="36"/>
      <c r="AM25" s="36"/>
      <c r="AN25" s="36"/>
      <c r="AO25" s="36"/>
      <c r="AP25" s="36"/>
      <c r="AQ25" s="36"/>
      <c r="AR25" s="36"/>
      <c r="AS25" s="36"/>
    </row>
    <row r="26" spans="2:45" ht="15" customHeight="1" x14ac:dyDescent="0.25">
      <c r="B26" s="159"/>
      <c r="C26" s="37"/>
      <c r="D26" s="114" t="s">
        <v>98</v>
      </c>
      <c r="E26" s="175">
        <v>1</v>
      </c>
      <c r="F26" s="178">
        <v>0.5</v>
      </c>
      <c r="G26" s="37"/>
      <c r="H26" s="161"/>
      <c r="J26" s="159"/>
      <c r="K26" s="37"/>
      <c r="L26" s="114" t="s">
        <v>83</v>
      </c>
      <c r="M26" s="185">
        <v>0.5</v>
      </c>
      <c r="N26" s="186">
        <v>1</v>
      </c>
      <c r="O26" s="37"/>
      <c r="P26" s="161"/>
      <c r="Q26" s="38"/>
      <c r="U26" s="36"/>
      <c r="V26" s="36"/>
      <c r="W26" s="36"/>
      <c r="AF26" s="36"/>
      <c r="AG26" s="36"/>
      <c r="AH26" s="36"/>
      <c r="AI26" s="36"/>
      <c r="AJ26" s="36"/>
      <c r="AK26" s="36"/>
      <c r="AL26" s="36"/>
      <c r="AM26" s="36"/>
      <c r="AN26" s="36"/>
      <c r="AO26" s="36"/>
      <c r="AP26" s="36"/>
      <c r="AQ26" s="36"/>
      <c r="AR26" s="36"/>
      <c r="AS26" s="36"/>
    </row>
    <row r="27" spans="2:45" x14ac:dyDescent="0.25">
      <c r="B27" s="159"/>
      <c r="C27" s="37"/>
      <c r="D27" s="62" t="s">
        <v>144</v>
      </c>
      <c r="E27" s="93"/>
      <c r="F27" s="179">
        <v>0.3</v>
      </c>
      <c r="G27" s="37"/>
      <c r="H27" s="161"/>
      <c r="J27" s="159"/>
      <c r="K27" s="37"/>
      <c r="L27" s="67"/>
      <c r="M27" s="93"/>
      <c r="N27" s="94"/>
      <c r="O27" s="37"/>
      <c r="P27" s="161"/>
      <c r="Q27" s="38"/>
      <c r="U27" s="36"/>
      <c r="V27" s="36"/>
      <c r="W27" s="36"/>
      <c r="AF27" s="36"/>
      <c r="AG27" s="36"/>
      <c r="AH27" s="36"/>
      <c r="AI27" s="36"/>
      <c r="AJ27" s="36"/>
      <c r="AK27" s="36"/>
      <c r="AL27" s="36"/>
      <c r="AM27" s="36"/>
      <c r="AN27" s="36"/>
      <c r="AO27" s="36"/>
      <c r="AP27" s="36"/>
      <c r="AQ27" s="36"/>
      <c r="AR27" s="36"/>
      <c r="AS27" s="36"/>
    </row>
    <row r="28" spans="2:45" x14ac:dyDescent="0.25">
      <c r="B28" s="159"/>
      <c r="C28" s="37"/>
      <c r="D28" s="67" t="s">
        <v>351</v>
      </c>
      <c r="E28" s="93"/>
      <c r="F28" s="180" t="s">
        <v>80</v>
      </c>
      <c r="G28" s="37"/>
      <c r="H28" s="161"/>
      <c r="J28" s="159"/>
      <c r="K28" s="37"/>
      <c r="L28" s="67"/>
      <c r="M28" s="93"/>
      <c r="N28" s="94"/>
      <c r="O28" s="37"/>
      <c r="P28" s="161"/>
      <c r="Q28" s="38"/>
      <c r="U28" s="36"/>
      <c r="V28" s="36"/>
      <c r="W28" s="36"/>
      <c r="AF28" s="36"/>
      <c r="AG28" s="36"/>
      <c r="AH28" s="36"/>
      <c r="AI28" s="36"/>
      <c r="AJ28" s="36"/>
      <c r="AK28" s="36"/>
      <c r="AL28" s="36"/>
      <c r="AM28" s="36"/>
      <c r="AN28" s="36"/>
      <c r="AO28" s="36"/>
      <c r="AP28" s="36"/>
      <c r="AQ28" s="36"/>
      <c r="AR28" s="36"/>
      <c r="AS28" s="36"/>
    </row>
    <row r="29" spans="2:45" x14ac:dyDescent="0.25">
      <c r="B29" s="159"/>
      <c r="C29" s="37"/>
      <c r="D29" s="67" t="s">
        <v>76</v>
      </c>
      <c r="E29" s="93"/>
      <c r="F29" s="508">
        <f>1-F27</f>
        <v>0.7</v>
      </c>
      <c r="G29" s="37"/>
      <c r="H29" s="161"/>
      <c r="J29" s="159"/>
      <c r="K29" s="37"/>
      <c r="L29" s="67"/>
      <c r="M29" s="93"/>
      <c r="N29" s="94"/>
      <c r="O29" s="37"/>
      <c r="P29" s="161"/>
      <c r="Q29" s="38"/>
      <c r="U29" s="36"/>
      <c r="V29" s="36"/>
      <c r="W29" s="36"/>
      <c r="AF29" s="36"/>
      <c r="AG29" s="36"/>
      <c r="AH29" s="36"/>
      <c r="AI29" s="36"/>
      <c r="AJ29" s="36"/>
      <c r="AK29" s="36"/>
      <c r="AL29" s="36"/>
      <c r="AM29" s="36"/>
      <c r="AN29" s="36"/>
      <c r="AO29" s="36"/>
      <c r="AP29" s="36"/>
      <c r="AQ29" s="36"/>
      <c r="AR29" s="36"/>
      <c r="AS29" s="36"/>
    </row>
    <row r="30" spans="2:45" x14ac:dyDescent="0.25">
      <c r="B30" s="159"/>
      <c r="C30" s="37"/>
      <c r="D30" s="67" t="s">
        <v>233</v>
      </c>
      <c r="E30" s="93"/>
      <c r="F30" s="180" t="s">
        <v>80</v>
      </c>
      <c r="G30" s="37"/>
      <c r="H30" s="161"/>
      <c r="J30" s="159"/>
      <c r="K30" s="37"/>
      <c r="L30" s="67"/>
      <c r="M30" s="93"/>
      <c r="N30" s="94"/>
      <c r="O30" s="37"/>
      <c r="P30" s="161"/>
      <c r="Q30" s="38"/>
      <c r="U30" s="36"/>
      <c r="V30" s="36"/>
      <c r="W30" s="36"/>
      <c r="AF30" s="36"/>
      <c r="AG30" s="36"/>
      <c r="AH30" s="36"/>
      <c r="AI30" s="36"/>
      <c r="AJ30" s="36"/>
      <c r="AK30" s="36"/>
      <c r="AL30" s="36"/>
      <c r="AM30" s="36"/>
      <c r="AN30" s="36"/>
      <c r="AO30" s="36"/>
      <c r="AP30" s="36"/>
      <c r="AQ30" s="36"/>
      <c r="AR30" s="36"/>
      <c r="AS30" s="36"/>
    </row>
    <row r="31" spans="2:45" x14ac:dyDescent="0.25">
      <c r="B31" s="159"/>
      <c r="C31" s="37"/>
      <c r="D31" s="67"/>
      <c r="E31" s="93"/>
      <c r="F31" s="507"/>
      <c r="G31" s="37"/>
      <c r="H31" s="161"/>
      <c r="J31" s="159"/>
      <c r="K31" s="37"/>
      <c r="L31" s="67"/>
      <c r="M31" s="93"/>
      <c r="N31" s="94"/>
      <c r="O31" s="37"/>
      <c r="P31" s="161"/>
      <c r="Q31" s="38"/>
      <c r="U31" s="36"/>
      <c r="V31" s="36"/>
      <c r="W31" s="36"/>
      <c r="AF31" s="36"/>
      <c r="AG31" s="36"/>
      <c r="AH31" s="36"/>
      <c r="AI31" s="36"/>
      <c r="AJ31" s="36"/>
      <c r="AK31" s="36"/>
      <c r="AL31" s="36"/>
      <c r="AM31" s="36"/>
      <c r="AN31" s="36"/>
      <c r="AO31" s="36"/>
      <c r="AP31" s="36"/>
      <c r="AQ31" s="36"/>
      <c r="AR31" s="36"/>
      <c r="AS31" s="36"/>
    </row>
    <row r="32" spans="2:45" x14ac:dyDescent="0.25">
      <c r="B32" s="159"/>
      <c r="C32" s="37"/>
      <c r="D32" s="61" t="s">
        <v>82</v>
      </c>
      <c r="E32" s="168" t="s">
        <v>99</v>
      </c>
      <c r="F32" s="168" t="s">
        <v>100</v>
      </c>
      <c r="G32" s="37"/>
      <c r="H32" s="161"/>
      <c r="J32" s="159"/>
      <c r="K32" s="37"/>
      <c r="L32" s="61" t="s">
        <v>82</v>
      </c>
      <c r="M32" s="168" t="s">
        <v>99</v>
      </c>
      <c r="N32" s="168" t="s">
        <v>100</v>
      </c>
      <c r="O32" s="37"/>
      <c r="P32" s="161"/>
      <c r="Q32" s="38"/>
      <c r="U32" s="36"/>
      <c r="V32" s="36"/>
      <c r="W32" s="36"/>
      <c r="AF32" s="36"/>
      <c r="AG32" s="36"/>
      <c r="AH32" s="36"/>
      <c r="AI32" s="36"/>
      <c r="AJ32" s="36"/>
      <c r="AK32" s="36"/>
      <c r="AL32" s="36"/>
      <c r="AM32" s="36"/>
      <c r="AN32" s="36"/>
      <c r="AO32" s="36"/>
      <c r="AP32" s="36"/>
      <c r="AQ32" s="36"/>
      <c r="AR32" s="36"/>
      <c r="AS32" s="36"/>
    </row>
    <row r="33" spans="2:45" x14ac:dyDescent="0.25">
      <c r="B33" s="159"/>
      <c r="C33" s="37"/>
      <c r="D33" s="114" t="s">
        <v>234</v>
      </c>
      <c r="E33" s="180" t="s">
        <v>80</v>
      </c>
      <c r="F33" s="180" t="s">
        <v>80</v>
      </c>
      <c r="G33" s="37"/>
      <c r="H33" s="161"/>
      <c r="J33" s="159"/>
      <c r="K33" s="37"/>
      <c r="L33" s="114" t="s">
        <v>234</v>
      </c>
      <c r="M33" s="187" t="s">
        <v>72</v>
      </c>
      <c r="N33" s="188" t="s">
        <v>72</v>
      </c>
      <c r="O33" s="37"/>
      <c r="P33" s="161"/>
      <c r="Q33" s="38"/>
      <c r="U33" s="36"/>
      <c r="V33" s="36"/>
      <c r="W33" s="36"/>
      <c r="AF33" s="36"/>
      <c r="AG33" s="36"/>
      <c r="AH33" s="36"/>
      <c r="AI33" s="36"/>
      <c r="AJ33" s="36"/>
      <c r="AK33" s="36"/>
      <c r="AL33" s="36"/>
      <c r="AM33" s="36"/>
      <c r="AN33" s="36"/>
      <c r="AO33" s="36"/>
      <c r="AP33" s="36"/>
      <c r="AQ33" s="36"/>
      <c r="AR33" s="36"/>
      <c r="AS33" s="36"/>
    </row>
    <row r="34" spans="2:45" x14ac:dyDescent="0.25">
      <c r="B34" s="159"/>
      <c r="C34" s="37"/>
      <c r="D34" s="67"/>
      <c r="E34" s="61"/>
      <c r="F34" s="41"/>
      <c r="G34" s="37"/>
      <c r="H34" s="161"/>
      <c r="J34" s="159"/>
      <c r="K34" s="37"/>
      <c r="L34" s="67"/>
      <c r="M34" s="61"/>
      <c r="N34" s="41"/>
      <c r="O34" s="37"/>
      <c r="P34" s="161"/>
      <c r="Q34" s="38"/>
      <c r="U34" s="36"/>
      <c r="V34" s="36"/>
      <c r="W34" s="36"/>
      <c r="AF34" s="36"/>
      <c r="AG34" s="36"/>
      <c r="AH34" s="36"/>
      <c r="AI34" s="36"/>
      <c r="AJ34" s="36"/>
      <c r="AK34" s="36"/>
      <c r="AL34" s="36"/>
      <c r="AM34" s="36"/>
      <c r="AN34" s="36"/>
      <c r="AO34" s="36"/>
      <c r="AP34" s="36"/>
      <c r="AQ34" s="36"/>
      <c r="AR34" s="36"/>
      <c r="AS34" s="36"/>
    </row>
    <row r="35" spans="2:45" x14ac:dyDescent="0.25">
      <c r="B35" s="159"/>
      <c r="C35" s="37"/>
      <c r="D35" s="95" t="s">
        <v>391</v>
      </c>
      <c r="E35" s="41"/>
      <c r="F35" s="41"/>
      <c r="G35" s="37"/>
      <c r="H35" s="161"/>
      <c r="J35" s="159"/>
      <c r="K35" s="37"/>
      <c r="L35" s="95"/>
      <c r="M35" s="41"/>
      <c r="N35" s="41"/>
      <c r="O35" s="37"/>
      <c r="P35" s="161"/>
      <c r="Q35" s="38"/>
      <c r="U35" s="36"/>
      <c r="V35" s="36"/>
      <c r="W35" s="36"/>
      <c r="AF35" s="36"/>
      <c r="AG35" s="36"/>
      <c r="AH35" s="36"/>
      <c r="AI35" s="36"/>
      <c r="AJ35" s="36"/>
      <c r="AK35" s="36"/>
      <c r="AL35" s="36"/>
      <c r="AM35" s="36"/>
      <c r="AN35" s="36"/>
      <c r="AO35" s="36"/>
      <c r="AP35" s="36"/>
      <c r="AQ35" s="36"/>
      <c r="AR35" s="36"/>
      <c r="AS35" s="36"/>
    </row>
    <row r="36" spans="2:45" x14ac:dyDescent="0.25">
      <c r="B36" s="159"/>
      <c r="C36" s="37"/>
      <c r="D36" s="95" t="s">
        <v>393</v>
      </c>
      <c r="E36" s="475"/>
      <c r="F36" s="509">
        <v>2</v>
      </c>
      <c r="G36" s="37"/>
      <c r="H36" s="161"/>
      <c r="J36" s="159"/>
      <c r="K36" s="37"/>
      <c r="L36" s="95"/>
      <c r="M36" s="41"/>
      <c r="N36" s="41"/>
      <c r="O36" s="37"/>
      <c r="P36" s="161"/>
      <c r="Q36" s="38"/>
      <c r="U36" s="36"/>
      <c r="V36" s="36"/>
      <c r="W36" s="36"/>
      <c r="AF36" s="36"/>
      <c r="AG36" s="36"/>
      <c r="AH36" s="36"/>
      <c r="AI36" s="36"/>
      <c r="AJ36" s="36"/>
      <c r="AK36" s="36"/>
      <c r="AL36" s="36"/>
      <c r="AM36" s="36"/>
      <c r="AN36" s="36"/>
      <c r="AO36" s="36"/>
      <c r="AP36" s="36"/>
      <c r="AQ36" s="36"/>
      <c r="AR36" s="36"/>
      <c r="AS36" s="36"/>
    </row>
    <row r="37" spans="2:45" x14ac:dyDescent="0.25">
      <c r="B37" s="159"/>
      <c r="C37" s="37"/>
      <c r="D37" s="95"/>
      <c r="E37" s="41"/>
      <c r="F37" s="41"/>
      <c r="G37" s="37"/>
      <c r="H37" s="161"/>
      <c r="J37" s="159"/>
      <c r="K37" s="37"/>
      <c r="L37" s="95"/>
      <c r="M37" s="41"/>
      <c r="N37" s="41"/>
      <c r="O37" s="37"/>
      <c r="P37" s="161"/>
      <c r="Q37" s="38"/>
      <c r="U37" s="36"/>
      <c r="V37" s="36"/>
      <c r="W37" s="36"/>
      <c r="AF37" s="36"/>
      <c r="AG37" s="36"/>
      <c r="AH37" s="36"/>
      <c r="AI37" s="36"/>
      <c r="AJ37" s="36"/>
      <c r="AK37" s="36"/>
      <c r="AL37" s="36"/>
      <c r="AM37" s="36"/>
      <c r="AN37" s="36"/>
      <c r="AO37" s="36"/>
      <c r="AP37" s="36"/>
      <c r="AQ37" s="36"/>
      <c r="AR37" s="36"/>
      <c r="AS37" s="36"/>
    </row>
    <row r="38" spans="2:45" ht="15.75" thickBot="1" x14ac:dyDescent="0.3">
      <c r="B38" s="163"/>
      <c r="C38" s="164"/>
      <c r="D38" s="164"/>
      <c r="E38" s="164"/>
      <c r="F38" s="164"/>
      <c r="G38" s="164"/>
      <c r="H38" s="165"/>
      <c r="J38" s="163"/>
      <c r="K38" s="164"/>
      <c r="L38" s="164"/>
      <c r="M38" s="164"/>
      <c r="N38" s="164"/>
      <c r="O38" s="164"/>
      <c r="P38" s="165"/>
      <c r="Q38" s="38"/>
      <c r="U38" s="36"/>
      <c r="V38" s="36"/>
      <c r="W38" s="36"/>
      <c r="AF38" s="36"/>
      <c r="AG38" s="36"/>
      <c r="AH38" s="36"/>
      <c r="AI38" s="36"/>
      <c r="AJ38" s="36"/>
      <c r="AK38" s="36"/>
      <c r="AL38" s="36"/>
      <c r="AM38" s="36"/>
      <c r="AN38" s="36"/>
      <c r="AO38" s="36"/>
      <c r="AP38" s="36"/>
      <c r="AQ38" s="36"/>
      <c r="AR38" s="36"/>
      <c r="AS38" s="36"/>
    </row>
    <row r="39" spans="2:45" ht="16.5" thickTop="1" thickBot="1" x14ac:dyDescent="0.3">
      <c r="C39" s="36"/>
      <c r="D39" s="36"/>
      <c r="E39" s="36"/>
      <c r="F39" s="36"/>
      <c r="G39" s="36"/>
      <c r="Q39" s="38"/>
      <c r="U39" s="36"/>
      <c r="V39" s="36"/>
      <c r="W39" s="36"/>
      <c r="AF39" s="36"/>
      <c r="AG39" s="36"/>
      <c r="AH39" s="36"/>
      <c r="AI39" s="36"/>
      <c r="AJ39" s="36"/>
      <c r="AK39" s="36"/>
      <c r="AL39" s="36"/>
      <c r="AM39" s="36"/>
      <c r="AN39" s="36"/>
      <c r="AO39" s="36"/>
      <c r="AP39" s="36"/>
      <c r="AQ39" s="36"/>
      <c r="AR39" s="36"/>
      <c r="AS39" s="36"/>
    </row>
    <row r="40" spans="2:45" ht="15.75" thickTop="1" x14ac:dyDescent="0.25">
      <c r="B40" s="203"/>
      <c r="C40" s="204"/>
      <c r="D40" s="204"/>
      <c r="E40" s="204"/>
      <c r="F40" s="204"/>
      <c r="G40" s="204"/>
      <c r="H40" s="205"/>
      <c r="J40" s="203"/>
      <c r="K40" s="204"/>
      <c r="L40" s="204"/>
      <c r="M40" s="204"/>
      <c r="N40" s="204"/>
      <c r="O40" s="204"/>
      <c r="P40" s="205"/>
      <c r="Q40" s="38"/>
      <c r="U40" s="36"/>
      <c r="V40" s="36"/>
      <c r="W40" s="36"/>
      <c r="AF40" s="36"/>
      <c r="AG40" s="36"/>
      <c r="AH40" s="36"/>
      <c r="AI40" s="36"/>
      <c r="AJ40" s="36"/>
      <c r="AK40" s="36"/>
      <c r="AL40" s="36"/>
      <c r="AM40" s="36"/>
      <c r="AN40" s="36"/>
      <c r="AO40" s="36"/>
      <c r="AP40" s="36"/>
      <c r="AQ40" s="36"/>
      <c r="AR40" s="36"/>
      <c r="AS40" s="36"/>
    </row>
    <row r="41" spans="2:45" s="36" customFormat="1" ht="18.75" x14ac:dyDescent="0.3">
      <c r="B41" s="206"/>
      <c r="C41" s="38"/>
      <c r="D41" s="202" t="s">
        <v>158</v>
      </c>
      <c r="E41" s="38"/>
      <c r="F41" s="38"/>
      <c r="G41" s="38"/>
      <c r="H41" s="207"/>
      <c r="J41" s="206"/>
      <c r="K41" s="38"/>
      <c r="L41" s="202" t="s">
        <v>158</v>
      </c>
      <c r="M41" s="38"/>
      <c r="N41" s="38"/>
      <c r="O41" s="38"/>
      <c r="P41" s="207"/>
      <c r="Q41" s="38"/>
    </row>
    <row r="42" spans="2:45" s="36" customFormat="1" x14ac:dyDescent="0.25">
      <c r="B42" s="206"/>
      <c r="C42" s="193"/>
      <c r="D42" s="327"/>
      <c r="E42" s="327"/>
      <c r="F42" s="327"/>
      <c r="G42" s="193"/>
      <c r="H42" s="207"/>
      <c r="J42" s="206"/>
      <c r="K42" s="192"/>
      <c r="L42" s="193"/>
      <c r="M42" s="193"/>
      <c r="N42" s="193"/>
      <c r="O42" s="192"/>
      <c r="P42" s="207"/>
      <c r="Q42" s="38"/>
    </row>
    <row r="43" spans="2:45" s="36" customFormat="1" ht="15.75" customHeight="1" x14ac:dyDescent="0.25">
      <c r="B43" s="206"/>
      <c r="C43" s="193"/>
      <c r="D43" s="538" t="s">
        <v>211</v>
      </c>
      <c r="E43" s="538"/>
      <c r="F43" s="538"/>
      <c r="G43" s="193"/>
      <c r="H43" s="207"/>
      <c r="J43" s="206"/>
      <c r="K43" s="192"/>
      <c r="L43" s="544" t="s">
        <v>163</v>
      </c>
      <c r="M43" s="544"/>
      <c r="N43" s="544"/>
      <c r="O43" s="192"/>
      <c r="P43" s="207"/>
      <c r="Q43" s="38"/>
    </row>
    <row r="44" spans="2:45" s="36" customFormat="1" ht="15.75" customHeight="1" x14ac:dyDescent="0.25">
      <c r="B44" s="206"/>
      <c r="C44" s="193"/>
      <c r="D44" s="538"/>
      <c r="E44" s="538"/>
      <c r="F44" s="538"/>
      <c r="G44" s="193"/>
      <c r="H44" s="207"/>
      <c r="J44" s="206"/>
      <c r="K44" s="192"/>
      <c r="L44" s="544"/>
      <c r="M44" s="544"/>
      <c r="N44" s="544"/>
      <c r="O44" s="192"/>
      <c r="P44" s="207"/>
      <c r="Q44" s="38"/>
    </row>
    <row r="45" spans="2:45" s="36" customFormat="1" ht="15" customHeight="1" x14ac:dyDescent="0.25">
      <c r="B45" s="206"/>
      <c r="C45" s="193"/>
      <c r="D45" s="328" t="s">
        <v>212</v>
      </c>
      <c r="E45" s="329"/>
      <c r="F45" s="329"/>
      <c r="G45" s="193"/>
      <c r="H45" s="207"/>
      <c r="J45" s="206"/>
      <c r="K45" s="192"/>
      <c r="L45" s="544"/>
      <c r="M45" s="544"/>
      <c r="N45" s="544"/>
      <c r="O45" s="192"/>
      <c r="P45" s="207"/>
    </row>
    <row r="46" spans="2:45" s="36" customFormat="1" ht="15" customHeight="1" x14ac:dyDescent="0.25">
      <c r="B46" s="206"/>
      <c r="C46" s="193"/>
      <c r="D46" s="544" t="s">
        <v>238</v>
      </c>
      <c r="E46" s="544"/>
      <c r="F46" s="544"/>
      <c r="G46" s="193"/>
      <c r="H46" s="207"/>
      <c r="J46" s="206"/>
      <c r="K46" s="192"/>
      <c r="L46" s="544"/>
      <c r="M46" s="544"/>
      <c r="N46" s="544"/>
      <c r="O46" s="192"/>
      <c r="P46" s="207"/>
    </row>
    <row r="47" spans="2:45" s="36" customFormat="1" ht="15" customHeight="1" x14ac:dyDescent="0.25">
      <c r="B47" s="206"/>
      <c r="C47" s="193"/>
      <c r="D47" s="544"/>
      <c r="E47" s="544"/>
      <c r="F47" s="544"/>
      <c r="G47" s="193"/>
      <c r="H47" s="207"/>
      <c r="J47" s="206"/>
      <c r="K47" s="192"/>
      <c r="L47" s="193"/>
      <c r="M47" s="193"/>
      <c r="N47" s="193"/>
      <c r="O47" s="192"/>
      <c r="P47" s="207"/>
    </row>
    <row r="48" spans="2:45" s="36" customFormat="1" ht="15" customHeight="1" thickBot="1" x14ac:dyDescent="0.3">
      <c r="B48" s="206"/>
      <c r="C48" s="193"/>
      <c r="D48" s="544"/>
      <c r="E48" s="544"/>
      <c r="F48" s="544"/>
      <c r="G48" s="193"/>
      <c r="H48" s="207"/>
      <c r="J48" s="208"/>
      <c r="K48" s="209"/>
      <c r="L48" s="209"/>
      <c r="M48" s="209"/>
      <c r="N48" s="209"/>
      <c r="O48" s="209"/>
      <c r="P48" s="210"/>
    </row>
    <row r="49" spans="2:11" s="36" customFormat="1" ht="21" customHeight="1" thickTop="1" x14ac:dyDescent="0.25">
      <c r="B49" s="206"/>
      <c r="C49" s="193"/>
      <c r="D49" s="544"/>
      <c r="E49" s="544"/>
      <c r="F49" s="544"/>
      <c r="G49" s="193"/>
      <c r="H49" s="207"/>
    </row>
    <row r="50" spans="2:11" s="36" customFormat="1" ht="9.75" customHeight="1" x14ac:dyDescent="0.25">
      <c r="B50" s="206"/>
      <c r="C50" s="193"/>
      <c r="D50" s="538"/>
      <c r="E50" s="538"/>
      <c r="F50" s="538"/>
      <c r="G50" s="193"/>
      <c r="H50" s="207"/>
    </row>
    <row r="51" spans="2:11" s="36" customFormat="1" ht="15" customHeight="1" x14ac:dyDescent="0.25">
      <c r="B51" s="206"/>
      <c r="C51" s="193"/>
      <c r="D51" s="542" t="s">
        <v>5</v>
      </c>
      <c r="E51" s="542"/>
      <c r="F51" s="542"/>
      <c r="G51" s="193"/>
      <c r="H51" s="207"/>
    </row>
    <row r="52" spans="2:11" s="36" customFormat="1" ht="74.25" customHeight="1" x14ac:dyDescent="0.25">
      <c r="B52" s="206"/>
      <c r="C52" s="193"/>
      <c r="D52" s="538" t="s">
        <v>226</v>
      </c>
      <c r="E52" s="538"/>
      <c r="F52" s="538"/>
      <c r="G52" s="193"/>
      <c r="H52" s="207"/>
      <c r="K52" s="57"/>
    </row>
    <row r="53" spans="2:11" s="36" customFormat="1" x14ac:dyDescent="0.25">
      <c r="B53" s="206"/>
      <c r="C53" s="193"/>
      <c r="D53" s="193"/>
      <c r="E53" s="193"/>
      <c r="F53" s="193"/>
      <c r="G53" s="193"/>
      <c r="H53" s="207"/>
      <c r="K53" s="57"/>
    </row>
    <row r="54" spans="2:11" s="36" customFormat="1" ht="15.75" thickBot="1" x14ac:dyDescent="0.3">
      <c r="B54" s="208"/>
      <c r="C54" s="209"/>
      <c r="D54" s="209"/>
      <c r="E54" s="209"/>
      <c r="F54" s="209"/>
      <c r="G54" s="209"/>
      <c r="H54" s="210"/>
    </row>
    <row r="55" spans="2:11" s="36" customFormat="1" ht="15.75" thickTop="1" x14ac:dyDescent="0.25"/>
    <row r="56" spans="2:11" s="36" customFormat="1" x14ac:dyDescent="0.25"/>
    <row r="57" spans="2:11" s="36" customFormat="1" x14ac:dyDescent="0.25"/>
    <row r="58" spans="2:11" s="36" customFormat="1" x14ac:dyDescent="0.25"/>
    <row r="59" spans="2:11" s="36" customFormat="1" x14ac:dyDescent="0.25"/>
    <row r="60" spans="2:11" s="36" customFormat="1" x14ac:dyDescent="0.25"/>
    <row r="61" spans="2:11" s="36" customFormat="1" x14ac:dyDescent="0.25"/>
    <row r="62" spans="2:11" s="36" customFormat="1" x14ac:dyDescent="0.25"/>
    <row r="63" spans="2:11" s="36" customFormat="1" x14ac:dyDescent="0.25"/>
    <row r="64" spans="2:11" s="36" customFormat="1" x14ac:dyDescent="0.25"/>
    <row r="65" s="36" customFormat="1" x14ac:dyDescent="0.25"/>
    <row r="66" s="36" customFormat="1" x14ac:dyDescent="0.25"/>
    <row r="67" s="36" customFormat="1" x14ac:dyDescent="0.25"/>
    <row r="68" s="36" customFormat="1" x14ac:dyDescent="0.25"/>
    <row r="69" s="36" customFormat="1" x14ac:dyDescent="0.25"/>
    <row r="70" s="36" customFormat="1" x14ac:dyDescent="0.25"/>
    <row r="71" s="36" customFormat="1" x14ac:dyDescent="0.25"/>
    <row r="72" s="36" customFormat="1" x14ac:dyDescent="0.25"/>
    <row r="73" s="36" customFormat="1" x14ac:dyDescent="0.25"/>
    <row r="74" s="36" customFormat="1" x14ac:dyDescent="0.25"/>
    <row r="75" s="36" customFormat="1" x14ac:dyDescent="0.25"/>
    <row r="76" s="36" customFormat="1" x14ac:dyDescent="0.25"/>
    <row r="77" s="36" customFormat="1" x14ac:dyDescent="0.25"/>
    <row r="78" s="36" customFormat="1" x14ac:dyDescent="0.25"/>
    <row r="79" s="36" customFormat="1" x14ac:dyDescent="0.25"/>
    <row r="80" s="36" customFormat="1" x14ac:dyDescent="0.25"/>
    <row r="81" s="36" customFormat="1" x14ac:dyDescent="0.25"/>
    <row r="82" s="36" customFormat="1" x14ac:dyDescent="0.25"/>
    <row r="83" s="36" customFormat="1" x14ac:dyDescent="0.25"/>
    <row r="84" s="36" customFormat="1" x14ac:dyDescent="0.25"/>
    <row r="85" s="36" customFormat="1" x14ac:dyDescent="0.25"/>
    <row r="86" s="36" customFormat="1" x14ac:dyDescent="0.25"/>
    <row r="87" s="36" customFormat="1" x14ac:dyDescent="0.25"/>
    <row r="88" s="36" customFormat="1" x14ac:dyDescent="0.25"/>
    <row r="89" s="36" customFormat="1" x14ac:dyDescent="0.25"/>
    <row r="90" s="36" customFormat="1" x14ac:dyDescent="0.25"/>
    <row r="91" s="36" customFormat="1" x14ac:dyDescent="0.25"/>
    <row r="92" s="36" customFormat="1" x14ac:dyDescent="0.25"/>
    <row r="93" s="36" customFormat="1" x14ac:dyDescent="0.25"/>
    <row r="94" s="36" customFormat="1" x14ac:dyDescent="0.25"/>
    <row r="95" s="36" customFormat="1" x14ac:dyDescent="0.25"/>
    <row r="96" s="36" customFormat="1" x14ac:dyDescent="0.25"/>
    <row r="97" s="36" customFormat="1" x14ac:dyDescent="0.25"/>
    <row r="98" s="36" customFormat="1" x14ac:dyDescent="0.25"/>
    <row r="99" s="36" customFormat="1" x14ac:dyDescent="0.25"/>
    <row r="100" s="36" customFormat="1" x14ac:dyDescent="0.25"/>
    <row r="101" s="36" customFormat="1" x14ac:dyDescent="0.25"/>
    <row r="102" s="36" customFormat="1" x14ac:dyDescent="0.25"/>
    <row r="103" s="36" customFormat="1" x14ac:dyDescent="0.25"/>
    <row r="104" s="36" customFormat="1" x14ac:dyDescent="0.25"/>
    <row r="105" s="36" customFormat="1" x14ac:dyDescent="0.25"/>
    <row r="106" s="36" customFormat="1" x14ac:dyDescent="0.25"/>
    <row r="107" s="36" customFormat="1" x14ac:dyDescent="0.25"/>
    <row r="108" s="36" customFormat="1" x14ac:dyDescent="0.25"/>
    <row r="109" s="36" customFormat="1" x14ac:dyDescent="0.25"/>
    <row r="110" s="36" customFormat="1" x14ac:dyDescent="0.25"/>
    <row r="111" s="36" customFormat="1" x14ac:dyDescent="0.25"/>
    <row r="112" s="36" customFormat="1" x14ac:dyDescent="0.25"/>
    <row r="113" s="36" customFormat="1" x14ac:dyDescent="0.25"/>
    <row r="114" s="36" customFormat="1" x14ac:dyDescent="0.25"/>
    <row r="115" s="36" customFormat="1" x14ac:dyDescent="0.25"/>
    <row r="116" s="36" customFormat="1" x14ac:dyDescent="0.25"/>
    <row r="117" s="36" customFormat="1" x14ac:dyDescent="0.25"/>
    <row r="118" s="36" customFormat="1" x14ac:dyDescent="0.25"/>
    <row r="119" s="36" customFormat="1" x14ac:dyDescent="0.25"/>
    <row r="120" s="36" customFormat="1" x14ac:dyDescent="0.25"/>
    <row r="121" s="36" customFormat="1" x14ac:dyDescent="0.25"/>
    <row r="122" s="36" customFormat="1" x14ac:dyDescent="0.25"/>
    <row r="123" s="36" customFormat="1" x14ac:dyDescent="0.25"/>
    <row r="124" s="36" customFormat="1" x14ac:dyDescent="0.25"/>
    <row r="125" s="36" customFormat="1" x14ac:dyDescent="0.25"/>
    <row r="126" s="36" customFormat="1" x14ac:dyDescent="0.25"/>
    <row r="127" s="36" customFormat="1" x14ac:dyDescent="0.25"/>
    <row r="128" s="36" customFormat="1" x14ac:dyDescent="0.25"/>
    <row r="129" s="36" customFormat="1" x14ac:dyDescent="0.25"/>
    <row r="130" s="36" customFormat="1" x14ac:dyDescent="0.25"/>
    <row r="131" s="36" customFormat="1" x14ac:dyDescent="0.25"/>
    <row r="132" s="36" customFormat="1" x14ac:dyDescent="0.25"/>
    <row r="133" s="36" customFormat="1" x14ac:dyDescent="0.25"/>
    <row r="134" s="36" customFormat="1" x14ac:dyDescent="0.25"/>
    <row r="135" s="36" customFormat="1" x14ac:dyDescent="0.25"/>
    <row r="136" s="36" customFormat="1" x14ac:dyDescent="0.25"/>
    <row r="137" s="36" customFormat="1" x14ac:dyDescent="0.25"/>
    <row r="138" s="36" customFormat="1" x14ac:dyDescent="0.25"/>
    <row r="139" s="36" customFormat="1" x14ac:dyDescent="0.25"/>
    <row r="140" s="36" customFormat="1" x14ac:dyDescent="0.25"/>
    <row r="141" s="36" customFormat="1" x14ac:dyDescent="0.25"/>
    <row r="142" s="36" customFormat="1" x14ac:dyDescent="0.25"/>
    <row r="143" s="36" customFormat="1" x14ac:dyDescent="0.25"/>
    <row r="144" s="36" customFormat="1" x14ac:dyDescent="0.25"/>
    <row r="145" s="36" customFormat="1" x14ac:dyDescent="0.25"/>
    <row r="146" s="36" customFormat="1" x14ac:dyDescent="0.25"/>
    <row r="147" s="36" customFormat="1" x14ac:dyDescent="0.25"/>
    <row r="148" s="36" customFormat="1" x14ac:dyDescent="0.25"/>
    <row r="149" s="36" customFormat="1" x14ac:dyDescent="0.25"/>
    <row r="150" s="36" customFormat="1" x14ac:dyDescent="0.25"/>
    <row r="151" s="36" customFormat="1" x14ac:dyDescent="0.25"/>
    <row r="152" s="36" customFormat="1" x14ac:dyDescent="0.25"/>
    <row r="153" s="36" customFormat="1" x14ac:dyDescent="0.25"/>
    <row r="154" s="36" customFormat="1" x14ac:dyDescent="0.25"/>
    <row r="155" s="36" customFormat="1" x14ac:dyDescent="0.25"/>
    <row r="156" s="36" customFormat="1" x14ac:dyDescent="0.25"/>
    <row r="157" s="36" customFormat="1" x14ac:dyDescent="0.25"/>
    <row r="158" s="36" customFormat="1" x14ac:dyDescent="0.25"/>
    <row r="159" s="36" customFormat="1" x14ac:dyDescent="0.25"/>
    <row r="160" s="36" customFormat="1" x14ac:dyDescent="0.25"/>
    <row r="161" s="36" customFormat="1" x14ac:dyDescent="0.25"/>
    <row r="162" s="36" customFormat="1" x14ac:dyDescent="0.25"/>
    <row r="163" s="36" customFormat="1" x14ac:dyDescent="0.25"/>
    <row r="164" s="36" customFormat="1" x14ac:dyDescent="0.25"/>
    <row r="165" s="36" customFormat="1" x14ac:dyDescent="0.25"/>
    <row r="166" s="36" customFormat="1" x14ac:dyDescent="0.25"/>
    <row r="167" s="36" customFormat="1" x14ac:dyDescent="0.25"/>
    <row r="168" s="36" customFormat="1" x14ac:dyDescent="0.25"/>
    <row r="169" s="36" customFormat="1" x14ac:dyDescent="0.25"/>
    <row r="170" s="36" customFormat="1" x14ac:dyDescent="0.25"/>
    <row r="171" s="36" customFormat="1" x14ac:dyDescent="0.25"/>
    <row r="172" s="36" customFormat="1" x14ac:dyDescent="0.25"/>
    <row r="173" s="36" customFormat="1" x14ac:dyDescent="0.25"/>
    <row r="174" s="36" customFormat="1" x14ac:dyDescent="0.25"/>
    <row r="175" s="36" customFormat="1" x14ac:dyDescent="0.25"/>
    <row r="176" s="36" customFormat="1" x14ac:dyDescent="0.25"/>
    <row r="177" spans="21:23" s="36" customFormat="1" x14ac:dyDescent="0.25"/>
    <row r="178" spans="21:23" s="36" customFormat="1" x14ac:dyDescent="0.25"/>
    <row r="179" spans="21:23" s="36" customFormat="1" x14ac:dyDescent="0.25"/>
    <row r="180" spans="21:23" s="36" customFormat="1" x14ac:dyDescent="0.25"/>
    <row r="181" spans="21:23" s="36" customFormat="1" x14ac:dyDescent="0.25"/>
    <row r="182" spans="21:23" s="36" customFormat="1" x14ac:dyDescent="0.25"/>
    <row r="183" spans="21:23" s="36" customFormat="1" x14ac:dyDescent="0.25"/>
    <row r="184" spans="21:23" s="36" customFormat="1" x14ac:dyDescent="0.25"/>
    <row r="185" spans="21:23" s="36" customFormat="1" x14ac:dyDescent="0.25">
      <c r="U185" s="58"/>
      <c r="V185" s="58"/>
      <c r="W185" s="58"/>
    </row>
    <row r="186" spans="21:23" s="36" customFormat="1" x14ac:dyDescent="0.25">
      <c r="U186" s="58"/>
      <c r="V186" s="58"/>
      <c r="W186" s="58"/>
    </row>
    <row r="187" spans="21:23" s="36" customFormat="1" x14ac:dyDescent="0.25">
      <c r="U187" s="58"/>
      <c r="V187" s="58"/>
      <c r="W187" s="58"/>
    </row>
    <row r="188" spans="21:23" s="36" customFormat="1" x14ac:dyDescent="0.25">
      <c r="U188" s="58"/>
      <c r="V188" s="58"/>
      <c r="W188" s="58"/>
    </row>
    <row r="189" spans="21:23" s="36" customFormat="1" x14ac:dyDescent="0.25">
      <c r="U189" s="58"/>
      <c r="V189" s="58"/>
      <c r="W189" s="58"/>
    </row>
    <row r="190" spans="21:23" s="36" customFormat="1" x14ac:dyDescent="0.25">
      <c r="U190" s="58"/>
      <c r="V190" s="58"/>
      <c r="W190" s="58"/>
    </row>
    <row r="191" spans="21:23" s="36" customFormat="1" x14ac:dyDescent="0.25">
      <c r="U191" s="58"/>
      <c r="V191" s="58"/>
      <c r="W191" s="58"/>
    </row>
    <row r="192" spans="21:23" s="36" customFormat="1" x14ac:dyDescent="0.25">
      <c r="U192" s="58"/>
      <c r="V192" s="58"/>
      <c r="W192" s="58"/>
    </row>
    <row r="193" spans="3:23" s="36" customFormat="1" x14ac:dyDescent="0.25">
      <c r="U193" s="58"/>
      <c r="V193" s="58"/>
      <c r="W193" s="58"/>
    </row>
    <row r="194" spans="3:23" s="36" customFormat="1" x14ac:dyDescent="0.25">
      <c r="U194" s="58"/>
      <c r="V194" s="58"/>
      <c r="W194" s="58"/>
    </row>
    <row r="195" spans="3:23" s="36" customFormat="1" x14ac:dyDescent="0.25">
      <c r="U195" s="58"/>
      <c r="V195" s="58"/>
      <c r="W195" s="58"/>
    </row>
    <row r="196" spans="3:23" s="36" customFormat="1" x14ac:dyDescent="0.25">
      <c r="U196" s="58"/>
      <c r="V196" s="58"/>
      <c r="W196" s="58"/>
    </row>
    <row r="197" spans="3:23" s="36" customFormat="1" x14ac:dyDescent="0.25">
      <c r="U197" s="58"/>
      <c r="V197" s="58"/>
      <c r="W197" s="58"/>
    </row>
    <row r="198" spans="3:23" s="36" customFormat="1" x14ac:dyDescent="0.25">
      <c r="U198" s="58"/>
      <c r="V198" s="58"/>
      <c r="W198" s="58"/>
    </row>
    <row r="199" spans="3:23" s="36" customFormat="1" x14ac:dyDescent="0.25">
      <c r="U199" s="58"/>
      <c r="V199" s="58"/>
      <c r="W199" s="58"/>
    </row>
    <row r="200" spans="3:23" s="36" customFormat="1" x14ac:dyDescent="0.25">
      <c r="U200" s="58"/>
      <c r="V200" s="58"/>
      <c r="W200" s="58"/>
    </row>
    <row r="201" spans="3:23" s="36" customFormat="1" x14ac:dyDescent="0.25">
      <c r="U201" s="58"/>
      <c r="V201" s="58"/>
      <c r="W201" s="58"/>
    </row>
    <row r="202" spans="3:23" s="36" customFormat="1" x14ac:dyDescent="0.25">
      <c r="U202" s="58"/>
      <c r="V202" s="58"/>
      <c r="W202" s="58"/>
    </row>
    <row r="203" spans="3:23" s="36" customFormat="1" x14ac:dyDescent="0.25">
      <c r="U203" s="58"/>
      <c r="V203" s="58"/>
      <c r="W203" s="58"/>
    </row>
    <row r="204" spans="3:23" s="36" customFormat="1" x14ac:dyDescent="0.25">
      <c r="U204" s="58"/>
      <c r="V204" s="58"/>
      <c r="W204" s="58"/>
    </row>
    <row r="205" spans="3:23" s="36" customFormat="1" x14ac:dyDescent="0.25">
      <c r="U205" s="58"/>
      <c r="V205" s="58"/>
      <c r="W205" s="58"/>
    </row>
    <row r="206" spans="3:23" s="36" customFormat="1" x14ac:dyDescent="0.25">
      <c r="C206" s="58"/>
      <c r="D206" s="58"/>
      <c r="E206" s="58"/>
      <c r="F206" s="58"/>
      <c r="G206" s="58"/>
      <c r="U206" s="58"/>
      <c r="V206" s="58"/>
      <c r="W206" s="58"/>
    </row>
    <row r="207" spans="3:23" s="36" customFormat="1" x14ac:dyDescent="0.25">
      <c r="C207" s="58"/>
      <c r="D207" s="58"/>
      <c r="E207" s="58"/>
      <c r="F207" s="58"/>
      <c r="G207" s="58"/>
      <c r="U207" s="58"/>
      <c r="V207" s="58"/>
      <c r="W207" s="58"/>
    </row>
    <row r="208" spans="3:23" s="36" customFormat="1" x14ac:dyDescent="0.25">
      <c r="C208" s="58"/>
      <c r="D208" s="58"/>
      <c r="E208" s="58"/>
      <c r="F208" s="58"/>
      <c r="G208" s="58"/>
      <c r="U208" s="58"/>
      <c r="V208" s="58"/>
      <c r="W208" s="58"/>
    </row>
    <row r="209" spans="3:23" s="36" customFormat="1" x14ac:dyDescent="0.25">
      <c r="C209" s="58"/>
      <c r="D209" s="58"/>
      <c r="E209" s="58"/>
      <c r="F209" s="58"/>
      <c r="G209" s="58"/>
      <c r="U209" s="58"/>
      <c r="V209" s="58"/>
      <c r="W209" s="58"/>
    </row>
  </sheetData>
  <sheetProtection algorithmName="SHA-512" hashValue="ouZ1mOLIQe7VQ27eQtMIPeumiygPGcDtju23SzvqwhSJUJVtqCLg5iYXyfZpmsRfs9jl//4XZEXAh/49kabQhw==" saltValue="Ps+WwKQySmjNqeSV7o0fRQ==" spinCount="100000" sheet="1" sort="0" autoFilter="0"/>
  <mergeCells count="12">
    <mergeCell ref="D52:F52"/>
    <mergeCell ref="D44:F44"/>
    <mergeCell ref="D50:F50"/>
    <mergeCell ref="L43:N46"/>
    <mergeCell ref="D46:F49"/>
    <mergeCell ref="E13:F13"/>
    <mergeCell ref="T19:V22"/>
    <mergeCell ref="E16:F16"/>
    <mergeCell ref="D43:F43"/>
    <mergeCell ref="D51:F51"/>
    <mergeCell ref="M13:N13"/>
    <mergeCell ref="M16:N16"/>
  </mergeCells>
  <dataValidations count="1">
    <dataValidation type="list" allowBlank="1" showInputMessage="1" showErrorMessage="1" sqref="E33:F33 M33:N33 F28 F30">
      <formula1>"ja,nee"</formula1>
    </dataValidation>
  </dataValidations>
  <pageMargins left="0.7" right="0.7" top="0.75" bottom="0.75" header="0.3" footer="0.3"/>
  <pageSetup paperSize="9" scale="33" orientation="portrait"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14:formula1>
            <xm:f>'Tabellen PO-Raad'!$A$83:$A$114</xm:f>
          </x14:formula1>
          <xm:sqref>M23:N23 E23:F23</xm:sqref>
        </x14:dataValidation>
        <x14:dataValidation type="list" allowBlank="1" showInputMessage="1" showErrorMessage="1">
          <x14:formula1>
            <xm:f>Hulptabellen!$C$8:$C$27</xm:f>
          </x14:formula1>
          <xm:sqref>E24</xm:sqref>
        </x14:dataValidation>
        <x14:dataValidation type="list" allowBlank="1" showInputMessage="1" showErrorMessage="1">
          <x14:formula1>
            <xm:f>Hulptabellen!$D$8:$D$27</xm:f>
          </x14:formula1>
          <xm:sqref>F24</xm:sqref>
        </x14:dataValidation>
        <x14:dataValidation type="list" allowBlank="1" showInputMessage="1" showErrorMessage="1">
          <x14:formula1>
            <xm:f>Hulptabellen!$F$8:$F$27</xm:f>
          </x14:formula1>
          <xm:sqref>N24</xm:sqref>
        </x14:dataValidation>
        <x14:dataValidation type="list" showInputMessage="1" showErrorMessage="1">
          <x14:formula1>
            <xm:f>Hulptabellen!$E$8:$E$27</xm:f>
          </x14:formula1>
          <xm:sqref>M24</xm:sqref>
        </x14:dataValidation>
        <x14:dataValidation type="list" allowBlank="1" showInputMessage="1" showErrorMessage="1">
          <x14:formula1>
            <xm:f>Hulptabellen!$I$17:$I$28</xm:f>
          </x14:formula1>
          <xm:sqref>F19:F20</xm:sqref>
        </x14:dataValidation>
        <x14:dataValidation type="list" allowBlank="1" showInputMessage="1" showErrorMessage="1">
          <x14:formula1>
            <xm:f>Hulptabellen!$I$31:$I$40</xm:f>
          </x14:formula1>
          <xm:sqref>E19:E20</xm:sqref>
        </x14:dataValidation>
        <x14:dataValidation type="list" allowBlank="1" showInputMessage="1" showErrorMessage="1">
          <x14:formula1>
            <xm:f>'Tabellen PO-Raad'!$A$15:$A$21</xm:f>
          </x14:formula1>
          <xm:sqref>F36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7:X171"/>
  <sheetViews>
    <sheetView topLeftCell="A49" zoomScaleNormal="100" workbookViewId="0">
      <selection activeCell="F56" sqref="F56"/>
    </sheetView>
  </sheetViews>
  <sheetFormatPr defaultColWidth="9.7109375" defaultRowHeight="18.75" x14ac:dyDescent="0.2"/>
  <cols>
    <col min="1" max="1" width="2.5703125" style="17" customWidth="1"/>
    <col min="2" max="2" width="1.5703125" style="17" customWidth="1"/>
    <col min="3" max="3" width="63" style="17" bestFit="1" customWidth="1"/>
    <col min="4" max="4" width="2.28515625" style="17" customWidth="1"/>
    <col min="5" max="5" width="1.5703125" style="17" customWidth="1"/>
    <col min="6" max="7" width="13.7109375" style="35" customWidth="1"/>
    <col min="8" max="9" width="2.28515625" style="35" customWidth="1"/>
    <col min="10" max="10" width="1.5703125" style="17" customWidth="1"/>
    <col min="11" max="11" width="13.7109375" style="108" customWidth="1"/>
    <col min="12" max="12" width="13.7109375" style="75" customWidth="1"/>
    <col min="13" max="15" width="2.28515625" style="75" customWidth="1"/>
    <col min="16" max="16" width="10.5703125" style="75" bestFit="1" customWidth="1"/>
    <col min="17" max="18" width="11.85546875" style="75" customWidth="1"/>
    <col min="19" max="19" width="2.28515625" style="75" customWidth="1"/>
    <col min="20" max="20" width="26.140625" style="75" customWidth="1"/>
    <col min="21" max="21" width="2.28515625" style="75" customWidth="1"/>
    <col min="22" max="22" width="10" style="75" bestFit="1" customWidth="1"/>
    <col min="23" max="24" width="9.7109375" style="75"/>
    <col min="25" max="16384" width="9.7109375" style="17"/>
  </cols>
  <sheetData>
    <row r="7" spans="1:21" ht="13.5" customHeight="1" x14ac:dyDescent="0.2">
      <c r="B7" s="28"/>
      <c r="C7" s="29"/>
      <c r="D7" s="29"/>
      <c r="E7" s="29"/>
      <c r="F7" s="148"/>
      <c r="G7" s="30"/>
      <c r="H7" s="30"/>
      <c r="I7" s="77"/>
      <c r="J7" s="34"/>
      <c r="K7" s="109"/>
      <c r="L7" s="17"/>
    </row>
    <row r="8" spans="1:21" ht="30" customHeight="1" x14ac:dyDescent="0.2">
      <c r="B8" s="29"/>
      <c r="C8" s="545" t="s">
        <v>253</v>
      </c>
      <c r="D8" s="546"/>
      <c r="E8" s="546"/>
      <c r="F8" s="546"/>
      <c r="G8" s="546"/>
      <c r="H8" s="30"/>
      <c r="I8" s="77"/>
      <c r="J8" s="34"/>
      <c r="K8" s="109"/>
      <c r="L8" s="17"/>
    </row>
    <row r="9" spans="1:21" ht="13.5" customHeight="1" x14ac:dyDescent="0.2">
      <c r="A9" s="149"/>
      <c r="B9" s="29"/>
      <c r="C9" s="29"/>
      <c r="D9" s="29"/>
      <c r="E9" s="29"/>
      <c r="F9" s="30"/>
      <c r="G9" s="30"/>
      <c r="H9" s="30"/>
      <c r="I9" s="77"/>
      <c r="J9" s="34"/>
      <c r="K9" s="109"/>
      <c r="L9" s="17"/>
    </row>
    <row r="10" spans="1:21" ht="12.95" customHeight="1" x14ac:dyDescent="0.2">
      <c r="C10" s="211"/>
      <c r="D10" s="211"/>
      <c r="E10" s="211"/>
      <c r="F10" s="212"/>
      <c r="G10" s="212"/>
      <c r="H10" s="212"/>
      <c r="I10" s="212"/>
      <c r="J10" s="211"/>
      <c r="K10" s="213"/>
      <c r="L10" s="211"/>
      <c r="M10" s="211"/>
      <c r="N10" s="211"/>
      <c r="O10" s="211"/>
      <c r="P10" s="551" t="s">
        <v>162</v>
      </c>
      <c r="Q10" s="552"/>
    </row>
    <row r="11" spans="1:21" s="97" customFormat="1" ht="23.25" customHeight="1" x14ac:dyDescent="0.2">
      <c r="B11" s="223" t="s">
        <v>195</v>
      </c>
      <c r="C11" s="214"/>
      <c r="D11" s="214"/>
      <c r="E11" s="214"/>
      <c r="F11" s="215" t="s">
        <v>113</v>
      </c>
      <c r="G11" s="216"/>
      <c r="H11" s="216"/>
      <c r="I11" s="217" t="s">
        <v>159</v>
      </c>
      <c r="J11" s="214"/>
      <c r="K11" s="215" t="s">
        <v>114</v>
      </c>
      <c r="L11" s="214"/>
      <c r="M11" s="218"/>
      <c r="N11" s="214" t="s">
        <v>160</v>
      </c>
      <c r="O11" s="214"/>
      <c r="P11" s="552"/>
      <c r="Q11" s="552"/>
    </row>
    <row r="12" spans="1:21" s="97" customFormat="1" ht="15" customHeight="1" x14ac:dyDescent="0.2">
      <c r="B12" s="223"/>
      <c r="C12" s="214"/>
      <c r="D12" s="214"/>
      <c r="E12" s="214"/>
      <c r="F12" s="555">
        <f>'Invoer gegevens'!E13</f>
        <v>0</v>
      </c>
      <c r="G12" s="556"/>
      <c r="H12" s="216"/>
      <c r="I12" s="217"/>
      <c r="J12" s="214"/>
      <c r="K12" s="557" t="str">
        <f>'Invoer gegevens'!M13</f>
        <v>Y</v>
      </c>
      <c r="L12" s="558"/>
      <c r="M12" s="218"/>
      <c r="N12" s="214"/>
      <c r="O12" s="214"/>
      <c r="P12" s="552"/>
      <c r="Q12" s="552"/>
    </row>
    <row r="13" spans="1:21" s="97" customFormat="1" ht="23.25" customHeight="1" x14ac:dyDescent="0.2">
      <c r="B13" s="223"/>
      <c r="C13" s="214"/>
      <c r="D13" s="214"/>
      <c r="E13" s="214"/>
      <c r="F13" s="215"/>
      <c r="G13" s="216"/>
      <c r="H13" s="216"/>
      <c r="I13" s="217"/>
      <c r="J13" s="214"/>
      <c r="K13" s="215"/>
      <c r="L13" s="214"/>
      <c r="M13" s="218"/>
      <c r="N13" s="214"/>
      <c r="O13" s="214"/>
      <c r="P13" s="552"/>
      <c r="Q13" s="552"/>
    </row>
    <row r="14" spans="1:21" s="103" customFormat="1" ht="17.25" customHeight="1" x14ac:dyDescent="0.2">
      <c r="B14" s="224" t="e">
        <f>+#REF! &amp;" " &amp;#REF!</f>
        <v>#REF!</v>
      </c>
      <c r="C14" s="219"/>
      <c r="D14" s="219"/>
      <c r="E14" s="219"/>
      <c r="F14" s="220"/>
      <c r="G14" s="220"/>
      <c r="H14" s="220"/>
      <c r="I14" s="220"/>
      <c r="J14" s="219"/>
      <c r="K14" s="213"/>
      <c r="L14" s="221"/>
      <c r="M14" s="222"/>
      <c r="N14" s="222"/>
      <c r="O14" s="222"/>
      <c r="P14" s="552"/>
      <c r="Q14" s="552"/>
    </row>
    <row r="15" spans="1:21" s="16" customFormat="1" ht="12.95" customHeight="1" x14ac:dyDescent="0.2">
      <c r="B15" s="11"/>
      <c r="C15" s="26"/>
      <c r="D15" s="17"/>
      <c r="E15" s="45"/>
      <c r="F15" s="44"/>
      <c r="G15" s="44"/>
      <c r="H15" s="44"/>
      <c r="I15" s="108"/>
      <c r="J15" s="45"/>
      <c r="K15" s="44"/>
      <c r="L15" s="44"/>
      <c r="M15" s="26"/>
      <c r="N15" s="32"/>
      <c r="O15" s="91"/>
      <c r="P15" s="91"/>
      <c r="Q15" s="91"/>
      <c r="R15" s="91"/>
      <c r="S15" s="91"/>
      <c r="T15" s="32"/>
      <c r="U15" s="32"/>
    </row>
    <row r="16" spans="1:21" s="16" customFormat="1" ht="12.95" customHeight="1" x14ac:dyDescent="0.2">
      <c r="B16" s="11"/>
      <c r="C16" s="28" t="s">
        <v>47</v>
      </c>
      <c r="D16" s="79"/>
      <c r="E16" s="45"/>
      <c r="F16" s="44"/>
      <c r="G16" s="44"/>
      <c r="H16" s="44"/>
      <c r="I16" s="108"/>
      <c r="J16" s="45"/>
      <c r="K16" s="44"/>
      <c r="L16" s="44"/>
      <c r="M16" s="26"/>
      <c r="N16" s="32"/>
      <c r="O16" s="91"/>
      <c r="P16" s="91"/>
      <c r="Q16" s="91"/>
      <c r="R16" s="91"/>
      <c r="S16" s="91"/>
      <c r="T16" s="32"/>
      <c r="U16" s="32"/>
    </row>
    <row r="17" spans="1:21" s="16" customFormat="1" ht="12.95" customHeight="1" thickBot="1" x14ac:dyDescent="0.25">
      <c r="B17" s="11"/>
      <c r="C17" s="47"/>
      <c r="D17" s="80"/>
      <c r="E17" s="48"/>
      <c r="F17" s="27"/>
      <c r="G17" s="27"/>
      <c r="H17" s="27"/>
      <c r="I17" s="108"/>
      <c r="J17" s="48"/>
      <c r="K17" s="27"/>
      <c r="L17" s="27"/>
      <c r="M17" s="26"/>
      <c r="N17" s="32"/>
      <c r="O17" s="91"/>
      <c r="P17" s="91"/>
      <c r="Q17" s="91"/>
      <c r="R17" s="91"/>
      <c r="S17" s="91"/>
      <c r="T17" s="32"/>
      <c r="U17" s="32"/>
    </row>
    <row r="18" spans="1:21" s="16" customFormat="1" ht="12.95" customHeight="1" thickBot="1" x14ac:dyDescent="0.25">
      <c r="B18" s="11"/>
      <c r="C18" s="26" t="s">
        <v>18</v>
      </c>
      <c r="D18" s="17"/>
      <c r="E18" s="45"/>
      <c r="F18" s="549">
        <f>'Invoer gegevens'!E13</f>
        <v>0</v>
      </c>
      <c r="G18" s="550"/>
      <c r="H18" s="124"/>
      <c r="I18" s="108"/>
      <c r="J18" s="45"/>
      <c r="K18" s="549" t="str">
        <f>'Invoer gegevens'!M13</f>
        <v>Y</v>
      </c>
      <c r="L18" s="550"/>
      <c r="M18" s="26"/>
      <c r="N18" s="32"/>
      <c r="O18" s="91"/>
      <c r="P18" s="91"/>
      <c r="Q18" s="91"/>
      <c r="R18" s="91"/>
      <c r="S18" s="91"/>
      <c r="T18" s="32"/>
      <c r="U18" s="32"/>
    </row>
    <row r="19" spans="1:21" s="16" customFormat="1" ht="12.95" customHeight="1" thickBot="1" x14ac:dyDescent="0.25">
      <c r="A19" s="31"/>
      <c r="B19" s="15"/>
      <c r="C19" s="26" t="s">
        <v>31</v>
      </c>
      <c r="D19" s="17"/>
      <c r="E19" s="45"/>
      <c r="F19" s="238">
        <f>'Invoer gegevens'!E14</f>
        <v>23012</v>
      </c>
      <c r="G19" s="44"/>
      <c r="H19" s="44"/>
      <c r="I19" s="108"/>
      <c r="J19" s="45"/>
      <c r="K19" s="238">
        <f>'Invoer gegevens'!M14</f>
        <v>28491</v>
      </c>
      <c r="L19" s="44"/>
      <c r="M19" s="26"/>
      <c r="N19" s="32"/>
      <c r="O19" s="91"/>
      <c r="P19" s="91"/>
      <c r="Q19" s="91"/>
      <c r="R19" s="91"/>
      <c r="S19" s="91"/>
      <c r="T19" s="32"/>
      <c r="U19" s="32"/>
    </row>
    <row r="20" spans="1:21" s="16" customFormat="1" ht="12.95" customHeight="1" thickBot="1" x14ac:dyDescent="0.25">
      <c r="A20" s="31"/>
      <c r="B20" s="15"/>
      <c r="C20" s="62" t="s">
        <v>206</v>
      </c>
      <c r="D20" s="17"/>
      <c r="E20" s="45"/>
      <c r="F20" s="238" t="str">
        <f>'Invoer gegevens'!E15</f>
        <v>1-1-2030</v>
      </c>
      <c r="G20" s="44"/>
      <c r="H20" s="44"/>
      <c r="I20" s="108"/>
      <c r="J20" s="45"/>
      <c r="K20" s="44"/>
      <c r="L20" s="44"/>
      <c r="M20" s="26"/>
      <c r="N20" s="32"/>
      <c r="O20" s="91"/>
      <c r="P20" s="91"/>
      <c r="Q20" s="91"/>
      <c r="R20" s="91"/>
      <c r="S20" s="91"/>
      <c r="T20" s="32"/>
      <c r="U20" s="32"/>
    </row>
    <row r="21" spans="1:21" s="16" customFormat="1" ht="12.95" customHeight="1" thickBot="1" x14ac:dyDescent="0.25">
      <c r="A21" s="31"/>
      <c r="B21" s="15"/>
      <c r="C21" s="62" t="s">
        <v>89</v>
      </c>
      <c r="D21" s="17"/>
      <c r="E21" s="45"/>
      <c r="F21" s="553" t="str">
        <f>'Invoer gegevens'!E16</f>
        <v>67 jaar</v>
      </c>
      <c r="G21" s="554"/>
      <c r="H21" s="44"/>
      <c r="I21" s="108"/>
      <c r="J21" s="45"/>
      <c r="K21" s="44"/>
      <c r="L21" s="44"/>
      <c r="M21" s="26"/>
      <c r="N21" s="32"/>
      <c r="O21" s="91"/>
      <c r="P21" s="91"/>
      <c r="Q21" s="91"/>
      <c r="R21" s="91"/>
      <c r="S21" s="91"/>
      <c r="T21" s="32"/>
      <c r="U21" s="32"/>
    </row>
    <row r="22" spans="1:21" s="16" customFormat="1" ht="12.95" customHeight="1" x14ac:dyDescent="0.2">
      <c r="A22" s="31"/>
      <c r="B22" s="15"/>
      <c r="C22" s="26"/>
      <c r="D22" s="17"/>
      <c r="E22" s="45"/>
      <c r="F22" s="44"/>
      <c r="G22" s="44"/>
      <c r="H22" s="44"/>
      <c r="I22" s="108"/>
      <c r="J22" s="44"/>
      <c r="K22" s="44"/>
      <c r="L22" s="44"/>
      <c r="M22" s="26"/>
      <c r="N22" s="32"/>
      <c r="O22" s="91"/>
      <c r="P22" s="91"/>
      <c r="Q22" s="91"/>
      <c r="R22" s="91"/>
      <c r="S22" s="91"/>
      <c r="T22" s="32"/>
      <c r="U22" s="32"/>
    </row>
    <row r="23" spans="1:21" s="16" customFormat="1" ht="12.95" customHeight="1" thickBot="1" x14ac:dyDescent="0.25">
      <c r="A23" s="31"/>
      <c r="B23" s="15"/>
      <c r="C23" s="26"/>
      <c r="D23" s="17"/>
      <c r="E23" s="45"/>
      <c r="F23" s="116" t="s">
        <v>164</v>
      </c>
      <c r="G23" s="63" t="s">
        <v>165</v>
      </c>
      <c r="H23" s="41"/>
      <c r="I23" s="108"/>
      <c r="J23" s="45"/>
      <c r="K23" s="116" t="s">
        <v>164</v>
      </c>
      <c r="L23" s="63" t="s">
        <v>165</v>
      </c>
      <c r="M23" s="26"/>
      <c r="N23" s="32"/>
      <c r="O23" s="91"/>
      <c r="P23" s="91"/>
      <c r="Q23" s="91"/>
      <c r="R23" s="91"/>
      <c r="S23" s="91"/>
      <c r="T23" s="32"/>
      <c r="U23" s="32"/>
    </row>
    <row r="24" spans="1:21" s="16" customFormat="1" ht="12.95" customHeight="1" thickBot="1" x14ac:dyDescent="0.25">
      <c r="A24" s="31"/>
      <c r="B24" s="15"/>
      <c r="C24" s="62" t="s">
        <v>235</v>
      </c>
      <c r="D24" s="17"/>
      <c r="E24" s="45"/>
      <c r="F24" s="239">
        <f>'Invoer gegevens'!E19</f>
        <v>2025</v>
      </c>
      <c r="G24" s="239">
        <f>'Invoer gegevens'!G19</f>
        <v>1</v>
      </c>
      <c r="H24" s="125"/>
      <c r="I24" s="108"/>
      <c r="J24" s="45"/>
      <c r="K24" s="239">
        <f>F24</f>
        <v>2025</v>
      </c>
      <c r="L24" s="239">
        <f>G24</f>
        <v>1</v>
      </c>
      <c r="M24" s="26"/>
      <c r="N24" s="32"/>
      <c r="O24" s="91"/>
      <c r="P24" s="91"/>
      <c r="Q24" s="91"/>
      <c r="R24" s="91"/>
      <c r="S24" s="91"/>
      <c r="T24" s="32"/>
      <c r="U24" s="32"/>
    </row>
    <row r="25" spans="1:21" s="16" customFormat="1" ht="12.95" customHeight="1" thickBot="1" x14ac:dyDescent="0.25">
      <c r="A25" s="31"/>
      <c r="B25" s="15"/>
      <c r="C25" s="62" t="s">
        <v>236</v>
      </c>
      <c r="D25" s="17"/>
      <c r="E25" s="45"/>
      <c r="F25" s="239">
        <f>'Invoer gegevens'!E20</f>
        <v>2030</v>
      </c>
      <c r="G25" s="239">
        <f>'Invoer gegevens'!G20</f>
        <v>3</v>
      </c>
      <c r="H25" s="125"/>
      <c r="I25" s="108"/>
      <c r="J25" s="45"/>
      <c r="K25" s="239">
        <f>F25</f>
        <v>2030</v>
      </c>
      <c r="L25" s="239">
        <f>G25</f>
        <v>3</v>
      </c>
      <c r="M25" s="26"/>
      <c r="N25" s="32"/>
      <c r="O25" s="91"/>
      <c r="P25" s="91"/>
      <c r="Q25" s="91"/>
      <c r="R25" s="91"/>
      <c r="S25" s="91"/>
      <c r="T25" s="32"/>
      <c r="U25" s="32"/>
    </row>
    <row r="26" spans="1:21" s="16" customFormat="1" ht="12.95" customHeight="1" thickBot="1" x14ac:dyDescent="0.25">
      <c r="B26" s="15"/>
      <c r="C26" s="26"/>
      <c r="D26" s="17"/>
      <c r="E26" s="45"/>
      <c r="F26" s="44"/>
      <c r="G26" s="44"/>
      <c r="H26" s="44"/>
      <c r="I26" s="108"/>
      <c r="J26" s="45"/>
      <c r="K26" s="44"/>
      <c r="L26" s="44"/>
      <c r="M26" s="26"/>
      <c r="N26" s="32"/>
      <c r="O26" s="91"/>
      <c r="P26" s="91"/>
      <c r="Q26" s="91"/>
      <c r="R26" s="91"/>
      <c r="S26" s="91"/>
      <c r="T26" s="32"/>
      <c r="U26" s="32"/>
    </row>
    <row r="27" spans="1:21" s="16" customFormat="1" ht="12.95" customHeight="1" thickBot="1" x14ac:dyDescent="0.25">
      <c r="B27" s="15"/>
      <c r="C27" s="26" t="s">
        <v>79</v>
      </c>
      <c r="D27" s="17"/>
      <c r="E27" s="45"/>
      <c r="F27" s="240" t="s">
        <v>75</v>
      </c>
      <c r="G27" s="44"/>
      <c r="H27" s="44"/>
      <c r="I27" s="108"/>
      <c r="J27" s="45"/>
      <c r="K27" s="240" t="s">
        <v>75</v>
      </c>
      <c r="L27" s="44"/>
      <c r="M27" s="26"/>
      <c r="N27" s="32"/>
      <c r="O27" s="91"/>
      <c r="P27" s="91"/>
      <c r="Q27" s="91"/>
      <c r="R27" s="91"/>
      <c r="S27" s="91"/>
      <c r="T27" s="32"/>
      <c r="U27" s="32"/>
    </row>
    <row r="28" spans="1:21" s="16" customFormat="1" ht="12.95" customHeight="1" thickBot="1" x14ac:dyDescent="0.25">
      <c r="B28" s="15"/>
      <c r="C28" s="26" t="s">
        <v>77</v>
      </c>
      <c r="D28" s="17"/>
      <c r="E28" s="45"/>
      <c r="F28" s="241">
        <f>'Invoer gegevens'!F26</f>
        <v>0.5</v>
      </c>
      <c r="G28" s="44"/>
      <c r="H28" s="44"/>
      <c r="I28" s="108"/>
      <c r="J28" s="45"/>
      <c r="K28" s="241">
        <f>'Invoer gegevens'!N26</f>
        <v>1</v>
      </c>
      <c r="L28" s="44"/>
      <c r="M28" s="26"/>
      <c r="N28" s="32"/>
      <c r="O28" s="91"/>
      <c r="P28" s="91"/>
      <c r="Q28" s="91"/>
      <c r="R28" s="91"/>
      <c r="S28" s="91"/>
      <c r="T28" s="32"/>
      <c r="U28" s="32"/>
    </row>
    <row r="29" spans="1:21" s="16" customFormat="1" ht="12.95" customHeight="1" thickBot="1" x14ac:dyDescent="0.25">
      <c r="B29" s="15"/>
      <c r="C29" s="26" t="s">
        <v>76</v>
      </c>
      <c r="D29" s="17"/>
      <c r="E29" s="45"/>
      <c r="F29" s="242">
        <f>'Invoer gegevens'!F29</f>
        <v>0.7</v>
      </c>
      <c r="G29" s="44"/>
      <c r="H29" s="44"/>
      <c r="I29" s="108"/>
      <c r="J29" s="45"/>
      <c r="K29" s="49"/>
      <c r="L29" s="44"/>
      <c r="M29" s="26"/>
      <c r="N29" s="32"/>
      <c r="O29" s="91"/>
      <c r="P29" s="91"/>
      <c r="Q29" s="91"/>
      <c r="R29" s="91"/>
      <c r="S29" s="91"/>
      <c r="T29" s="32"/>
      <c r="U29" s="32"/>
    </row>
    <row r="30" spans="1:21" s="16" customFormat="1" ht="12.95" customHeight="1" thickBot="1" x14ac:dyDescent="0.25">
      <c r="B30" s="15"/>
      <c r="C30" s="26" t="s">
        <v>78</v>
      </c>
      <c r="D30" s="17"/>
      <c r="E30" s="45"/>
      <c r="F30" s="242">
        <v>1</v>
      </c>
      <c r="G30" s="44"/>
      <c r="H30" s="44"/>
      <c r="I30" s="108"/>
      <c r="J30" s="11"/>
      <c r="K30" s="11"/>
      <c r="L30" s="11"/>
      <c r="M30" s="11"/>
      <c r="N30" s="32"/>
      <c r="O30" s="91"/>
      <c r="P30" s="91"/>
      <c r="Q30" s="91"/>
      <c r="R30" s="91"/>
      <c r="S30" s="91"/>
      <c r="T30" s="32"/>
      <c r="U30" s="32"/>
    </row>
    <row r="31" spans="1:21" s="16" customFormat="1" ht="12.95" customHeight="1" x14ac:dyDescent="0.2">
      <c r="B31" s="15"/>
      <c r="C31" s="26"/>
      <c r="D31" s="17"/>
      <c r="E31" s="45"/>
      <c r="F31" s="44"/>
      <c r="G31" s="44"/>
      <c r="H31" s="44"/>
      <c r="I31" s="108"/>
      <c r="J31" s="26"/>
      <c r="K31" s="27"/>
      <c r="L31" s="27"/>
      <c r="M31" s="26"/>
      <c r="N31" s="32"/>
      <c r="O31" s="91"/>
      <c r="P31" s="91"/>
      <c r="Q31" s="91"/>
      <c r="R31" s="91"/>
      <c r="S31" s="91"/>
      <c r="T31" s="32"/>
      <c r="U31" s="32"/>
    </row>
    <row r="32" spans="1:21" s="16" customFormat="1" ht="12.95" customHeight="1" x14ac:dyDescent="0.2">
      <c r="B32" s="17"/>
      <c r="C32" s="17"/>
      <c r="D32" s="17"/>
      <c r="E32" s="17"/>
      <c r="F32" s="35"/>
      <c r="G32" s="35"/>
      <c r="H32" s="35"/>
      <c r="I32" s="108"/>
      <c r="J32" s="12"/>
      <c r="K32" s="13"/>
      <c r="L32" s="13"/>
      <c r="M32" s="12"/>
      <c r="N32" s="32"/>
      <c r="O32" s="32"/>
      <c r="P32" s="32"/>
      <c r="Q32" s="32"/>
      <c r="R32" s="32"/>
      <c r="S32" s="32"/>
      <c r="T32" s="32"/>
      <c r="U32" s="32"/>
    </row>
    <row r="33" spans="2:21" s="16" customFormat="1" ht="12.95" customHeight="1" thickBot="1" x14ac:dyDescent="0.25">
      <c r="B33" s="11"/>
      <c r="C33" s="28"/>
      <c r="D33" s="79"/>
      <c r="E33" s="45"/>
      <c r="F33" s="44"/>
      <c r="G33" s="44"/>
      <c r="H33" s="44"/>
      <c r="I33" s="108"/>
      <c r="J33" s="45"/>
      <c r="K33" s="44"/>
      <c r="L33" s="44"/>
      <c r="M33" s="26"/>
      <c r="N33" s="32"/>
      <c r="O33" s="91"/>
      <c r="P33" s="91"/>
      <c r="Q33" s="91"/>
      <c r="R33" s="91"/>
      <c r="S33" s="91"/>
      <c r="T33" s="32"/>
      <c r="U33" s="32"/>
    </row>
    <row r="34" spans="2:21" s="16" customFormat="1" ht="19.5" thickBot="1" x14ac:dyDescent="0.25">
      <c r="B34" s="11"/>
      <c r="C34" s="28"/>
      <c r="D34" s="80"/>
      <c r="E34" s="45"/>
      <c r="F34" s="229" t="s">
        <v>99</v>
      </c>
      <c r="G34" s="229" t="s">
        <v>100</v>
      </c>
      <c r="H34" s="118"/>
      <c r="I34" s="108"/>
      <c r="J34" s="45"/>
      <c r="K34" s="229" t="s">
        <v>99</v>
      </c>
      <c r="L34" s="229" t="s">
        <v>100</v>
      </c>
      <c r="M34" s="26"/>
      <c r="N34" s="32"/>
      <c r="O34" s="91"/>
      <c r="P34" s="547" t="s">
        <v>215</v>
      </c>
      <c r="Q34" s="548"/>
      <c r="R34" s="548"/>
      <c r="S34" s="91"/>
      <c r="T34" s="32"/>
      <c r="U34" s="32"/>
    </row>
    <row r="35" spans="2:21" s="16" customFormat="1" ht="30.75" thickBot="1" x14ac:dyDescent="0.25">
      <c r="B35" s="11"/>
      <c r="C35" s="42"/>
      <c r="D35" s="80"/>
      <c r="E35" s="45"/>
      <c r="F35" s="44"/>
      <c r="G35" s="44"/>
      <c r="H35" s="118"/>
      <c r="I35" s="108"/>
      <c r="J35" s="45"/>
      <c r="K35" s="44"/>
      <c r="L35" s="44"/>
      <c r="M35" s="26"/>
      <c r="N35" s="32"/>
      <c r="O35" s="91"/>
      <c r="P35" s="230" t="s">
        <v>166</v>
      </c>
      <c r="Q35" s="230" t="s">
        <v>213</v>
      </c>
      <c r="R35" s="230" t="s">
        <v>214</v>
      </c>
      <c r="S35" s="91"/>
      <c r="T35" s="32"/>
      <c r="U35" s="32"/>
    </row>
    <row r="36" spans="2:21" s="16" customFormat="1" ht="15" customHeight="1" thickBot="1" x14ac:dyDescent="0.25">
      <c r="B36" s="11"/>
      <c r="C36" s="28" t="s">
        <v>5</v>
      </c>
      <c r="D36" s="80"/>
      <c r="E36" s="45"/>
      <c r="F36" s="44"/>
      <c r="G36" s="44"/>
      <c r="H36" s="44"/>
      <c r="I36" s="108"/>
      <c r="J36" s="45"/>
      <c r="K36" s="44"/>
      <c r="L36" s="44"/>
      <c r="M36" s="26"/>
      <c r="N36" s="32"/>
      <c r="O36" s="91"/>
      <c r="P36" s="91"/>
      <c r="Q36" s="91"/>
      <c r="R36" s="91"/>
      <c r="S36" s="91"/>
      <c r="T36" s="32"/>
      <c r="U36" s="32"/>
    </row>
    <row r="37" spans="2:21" s="16" customFormat="1" ht="12.95" customHeight="1" thickBot="1" x14ac:dyDescent="0.25">
      <c r="B37" s="11"/>
      <c r="C37" s="26" t="s">
        <v>230</v>
      </c>
      <c r="D37" s="17"/>
      <c r="E37" s="45"/>
      <c r="F37" s="236" t="str">
        <f>'Invoer gegevens'!E23</f>
        <v>D11</v>
      </c>
      <c r="G37" s="236" t="str">
        <f>'Invoer gegevens'!F23</f>
        <v>LB</v>
      </c>
      <c r="H37" s="119"/>
      <c r="I37" s="108"/>
      <c r="J37" s="45"/>
      <c r="K37" s="236" t="str">
        <f>'Invoer gegevens'!M23</f>
        <v>LB</v>
      </c>
      <c r="L37" s="236" t="str">
        <f>'Invoer gegevens'!N23</f>
        <v>LB</v>
      </c>
      <c r="M37" s="26"/>
      <c r="N37" s="32"/>
      <c r="O37" s="91"/>
      <c r="P37" s="91"/>
      <c r="Q37" s="91"/>
      <c r="R37" s="91"/>
      <c r="S37" s="91"/>
      <c r="T37" s="32"/>
      <c r="U37" s="32"/>
    </row>
    <row r="38" spans="2:21" s="16" customFormat="1" ht="12.95" customHeight="1" thickBot="1" x14ac:dyDescent="0.25">
      <c r="B38" s="11"/>
      <c r="C38" s="26" t="s">
        <v>231</v>
      </c>
      <c r="D38" s="17"/>
      <c r="E38" s="45"/>
      <c r="F38" s="243">
        <f>'Invoer gegevens'!E24</f>
        <v>12</v>
      </c>
      <c r="G38" s="243">
        <f>'Invoer gegevens'!F24</f>
        <v>11</v>
      </c>
      <c r="H38" s="120"/>
      <c r="I38" s="108"/>
      <c r="J38" s="45"/>
      <c r="K38" s="249">
        <f>'Invoer gegevens'!M24</f>
        <v>9</v>
      </c>
      <c r="L38" s="249">
        <f>'Invoer gegevens'!N24</f>
        <v>9</v>
      </c>
      <c r="M38" s="26"/>
      <c r="N38" s="32"/>
      <c r="O38" s="91"/>
      <c r="P38" s="91"/>
      <c r="Q38" s="91"/>
      <c r="R38" s="91"/>
      <c r="S38" s="91"/>
      <c r="T38" s="32"/>
      <c r="U38" s="32"/>
    </row>
    <row r="39" spans="2:21" s="16" customFormat="1" ht="12.95" customHeight="1" thickBot="1" x14ac:dyDescent="0.25">
      <c r="B39" s="11"/>
      <c r="C39" s="26" t="s">
        <v>239</v>
      </c>
      <c r="D39" s="17"/>
      <c r="E39" s="45"/>
      <c r="F39" s="244">
        <f>VLOOKUP(F37,Saltab2023,F38+5,FALSE)</f>
        <v>6149</v>
      </c>
      <c r="G39" s="244">
        <f>VLOOKUP(G37,Saltab2023,G38+5,FALSE)</f>
        <v>5004</v>
      </c>
      <c r="H39" s="51"/>
      <c r="I39" s="108"/>
      <c r="J39" s="45"/>
      <c r="K39" s="244">
        <f>VLOOKUP(K37,Saltab2023,K38+5,FALSE)</f>
        <v>4534</v>
      </c>
      <c r="L39" s="244">
        <f>VLOOKUP(L37,Saltab2023,L38+5,FALSE)</f>
        <v>4534</v>
      </c>
      <c r="M39" s="26"/>
      <c r="N39" s="32"/>
      <c r="O39" s="91"/>
      <c r="P39" s="91"/>
      <c r="Q39" s="91"/>
      <c r="R39" s="91"/>
      <c r="S39" s="91"/>
      <c r="T39" s="32"/>
      <c r="U39" s="32"/>
    </row>
    <row r="40" spans="2:21" s="16" customFormat="1" ht="12.95" customHeight="1" thickBot="1" x14ac:dyDescent="0.25">
      <c r="B40" s="11"/>
      <c r="C40" s="26" t="s">
        <v>98</v>
      </c>
      <c r="D40" s="17"/>
      <c r="E40" s="45"/>
      <c r="F40" s="245">
        <f>'Invoer gegevens'!E26</f>
        <v>1</v>
      </c>
      <c r="G40" s="245">
        <f>'Invoer gegevens'!F26</f>
        <v>0.5</v>
      </c>
      <c r="H40" s="121"/>
      <c r="I40" s="108"/>
      <c r="J40" s="45"/>
      <c r="K40" s="245">
        <f>'Invoer gegevens'!M26</f>
        <v>0.5</v>
      </c>
      <c r="L40" s="245">
        <f>K28</f>
        <v>1</v>
      </c>
      <c r="M40" s="26"/>
      <c r="N40" s="32"/>
      <c r="O40" s="91"/>
      <c r="P40" s="91"/>
      <c r="Q40" s="91"/>
      <c r="R40" s="91"/>
      <c r="S40" s="91"/>
      <c r="T40" s="32"/>
      <c r="U40" s="32"/>
    </row>
    <row r="41" spans="2:21" s="16" customFormat="1" ht="12.95" customHeight="1" x14ac:dyDescent="0.2">
      <c r="B41" s="11"/>
      <c r="C41" s="26"/>
      <c r="D41" s="17"/>
      <c r="E41" s="45"/>
      <c r="F41" s="50"/>
      <c r="G41" s="50"/>
      <c r="H41" s="50"/>
      <c r="I41" s="108"/>
      <c r="J41" s="45"/>
      <c r="K41" s="50"/>
      <c r="L41" s="50"/>
      <c r="M41" s="26"/>
      <c r="N41" s="32"/>
      <c r="O41" s="91"/>
      <c r="P41" s="91"/>
      <c r="Q41" s="91"/>
      <c r="R41" s="91"/>
      <c r="S41" s="91"/>
      <c r="T41" s="32"/>
      <c r="U41" s="32"/>
    </row>
    <row r="42" spans="2:21" s="16" customFormat="1" ht="12.95" customHeight="1" x14ac:dyDescent="0.2">
      <c r="B42" s="11"/>
      <c r="C42" s="43" t="s">
        <v>218</v>
      </c>
      <c r="D42" s="17"/>
      <c r="E42" s="45"/>
      <c r="F42" s="50"/>
      <c r="G42" s="50"/>
      <c r="H42" s="50"/>
      <c r="I42" s="108"/>
      <c r="J42" s="45"/>
      <c r="K42" s="50"/>
      <c r="L42" s="50"/>
      <c r="M42" s="26"/>
      <c r="N42" s="32"/>
      <c r="O42" s="91"/>
      <c r="P42" s="91"/>
      <c r="Q42" s="91"/>
      <c r="R42" s="91"/>
      <c r="S42" s="91"/>
      <c r="T42" s="32"/>
      <c r="U42" s="32"/>
    </row>
    <row r="43" spans="2:21" s="16" customFormat="1" ht="12.95" customHeight="1" thickBot="1" x14ac:dyDescent="0.25">
      <c r="B43" s="11"/>
      <c r="C43" s="28"/>
      <c r="D43" s="17"/>
      <c r="E43" s="45"/>
      <c r="F43" s="50"/>
      <c r="G43" s="50"/>
      <c r="H43" s="50"/>
      <c r="I43" s="108"/>
      <c r="J43" s="45"/>
      <c r="K43" s="50"/>
      <c r="L43" s="50"/>
      <c r="M43" s="26"/>
      <c r="N43" s="32"/>
      <c r="O43" s="91"/>
      <c r="P43" s="91"/>
      <c r="Q43" s="91"/>
      <c r="R43" s="91"/>
      <c r="S43" s="91"/>
      <c r="T43" s="32"/>
      <c r="U43" s="32"/>
    </row>
    <row r="44" spans="2:21" s="16" customFormat="1" ht="12.95" customHeight="1" thickBot="1" x14ac:dyDescent="0.25">
      <c r="B44" s="11"/>
      <c r="C44" s="26" t="s">
        <v>220</v>
      </c>
      <c r="D44" s="17"/>
      <c r="E44" s="46"/>
      <c r="F44" s="236">
        <f>'Loonkosten uitgebreid'!AP37</f>
        <v>465154.95452054794</v>
      </c>
      <c r="G44" s="236">
        <f>'Loonkosten uitgebreid'!BB37</f>
        <v>295574.14224657533</v>
      </c>
      <c r="H44" s="119"/>
      <c r="I44" s="108"/>
      <c r="J44" s="46"/>
      <c r="K44" s="236">
        <f>'Loonkosten uitgebreid'!AP94</f>
        <v>179394.89687671233</v>
      </c>
      <c r="L44" s="236">
        <f>'Loonkosten uitgebreid'!BB94</f>
        <v>358789.4143561644</v>
      </c>
      <c r="M44" s="26"/>
      <c r="N44" s="32"/>
      <c r="O44" s="91"/>
      <c r="P44" s="236">
        <f>G44-F44+L44-K44</f>
        <v>9813.7052054794622</v>
      </c>
      <c r="Q44" s="236">
        <f>P44/SUM('Loonkosten uitgebreid'!$H$27:$Q$27)</f>
        <v>1901.2751592356708</v>
      </c>
      <c r="R44" s="236">
        <f>P44/(SUM('Loonkosten uitgebreid'!$H$27:$Q$27)*12)</f>
        <v>158.43959660297259</v>
      </c>
      <c r="S44" s="91"/>
      <c r="T44" s="32"/>
      <c r="U44" s="32"/>
    </row>
    <row r="45" spans="2:21" s="16" customFormat="1" ht="12.95" customHeight="1" collapsed="1" thickBot="1" x14ac:dyDescent="0.25">
      <c r="B45" s="11"/>
      <c r="C45" s="26"/>
      <c r="D45" s="17"/>
      <c r="E45" s="46"/>
      <c r="F45" s="244"/>
      <c r="G45" s="244"/>
      <c r="H45" s="51"/>
      <c r="I45" s="108"/>
      <c r="J45" s="46"/>
      <c r="K45" s="244"/>
      <c r="L45" s="244"/>
      <c r="M45" s="26"/>
      <c r="N45" s="32"/>
      <c r="O45" s="91"/>
      <c r="P45" s="251"/>
      <c r="Q45" s="251"/>
      <c r="R45" s="251"/>
      <c r="S45" s="91"/>
      <c r="T45" s="32"/>
      <c r="U45" s="32"/>
    </row>
    <row r="46" spans="2:21" s="16" customFormat="1" ht="12.95" customHeight="1" thickBot="1" x14ac:dyDescent="0.25">
      <c r="B46" s="26"/>
      <c r="C46" s="42" t="s">
        <v>53</v>
      </c>
      <c r="D46" s="17"/>
      <c r="E46" s="26"/>
      <c r="F46" s="246"/>
      <c r="G46" s="246"/>
      <c r="H46" s="26"/>
      <c r="I46" s="108"/>
      <c r="J46" s="26"/>
      <c r="K46" s="250"/>
      <c r="L46" s="250"/>
      <c r="M46" s="26"/>
      <c r="N46" s="32"/>
      <c r="O46" s="91"/>
      <c r="P46" s="251"/>
      <c r="Q46" s="251"/>
      <c r="R46" s="251"/>
      <c r="S46" s="91"/>
      <c r="T46" s="32"/>
      <c r="U46" s="32"/>
    </row>
    <row r="47" spans="2:21" s="16" customFormat="1" ht="12.95" customHeight="1" collapsed="1" thickBot="1" x14ac:dyDescent="0.25">
      <c r="B47" s="26"/>
      <c r="C47" s="26" t="s">
        <v>51</v>
      </c>
      <c r="D47" s="82"/>
      <c r="E47" s="42"/>
      <c r="F47" s="236">
        <f>'Loonkosten uitgebreid'!AP48</f>
        <v>136133.80503978083</v>
      </c>
      <c r="G47" s="236">
        <f>'Loonkosten uitgebreid'!BB48</f>
        <v>136133.80503978083</v>
      </c>
      <c r="H47" s="119"/>
      <c r="I47" s="108"/>
      <c r="J47" s="26"/>
      <c r="K47" s="236">
        <f>'Loonkosten uitgebreid'!AP105</f>
        <v>51909.365991947794</v>
      </c>
      <c r="L47" s="236">
        <f>'Loonkosten uitgebreid'!BB105</f>
        <v>102168.72965862043</v>
      </c>
      <c r="M47" s="46"/>
      <c r="N47" s="32"/>
      <c r="O47" s="91"/>
      <c r="P47" s="236">
        <f>G47-F47+L47-K47</f>
        <v>50259.363666672638</v>
      </c>
      <c r="Q47" s="236">
        <f>P47/SUM('Loonkosten uitgebreid'!$H$27:$Q$27)</f>
        <v>9737.0847868022902</v>
      </c>
      <c r="R47" s="236">
        <f>P47/(SUM('Loonkosten uitgebreid'!$H$27:$Q$27)*12)</f>
        <v>811.42373223352411</v>
      </c>
      <c r="S47" s="91"/>
      <c r="T47" s="32"/>
      <c r="U47" s="32"/>
    </row>
    <row r="48" spans="2:21" s="16" customFormat="1" ht="12.95" customHeight="1" collapsed="1" thickBot="1" x14ac:dyDescent="0.25">
      <c r="B48" s="26"/>
      <c r="C48" s="26" t="s">
        <v>169</v>
      </c>
      <c r="D48" s="82"/>
      <c r="E48" s="26"/>
      <c r="F48" s="236">
        <f>'Loonkosten uitgebreid'!AP52</f>
        <v>21389.511799232874</v>
      </c>
      <c r="G48" s="236">
        <f>'Loonkosten uitgebreid'!BB52</f>
        <v>13342.079087999999</v>
      </c>
      <c r="H48" s="119"/>
      <c r="I48" s="108"/>
      <c r="J48" s="26"/>
      <c r="K48" s="236">
        <f>'Loonkosten uitgebreid'!AP109</f>
        <v>8660.5440736438359</v>
      </c>
      <c r="L48" s="236">
        <f>'Loonkosten uitgebreid'!BB109</f>
        <v>17321.088147287672</v>
      </c>
      <c r="M48" s="26"/>
      <c r="N48" s="32"/>
      <c r="O48" s="91"/>
      <c r="P48" s="236">
        <f>G48-F48+L48-K48</f>
        <v>613.11136241096028</v>
      </c>
      <c r="Q48" s="236">
        <f>P48/SUM('Loonkosten uitgebreid'!$H$27:$Q$27)</f>
        <v>118.78219070063722</v>
      </c>
      <c r="R48" s="236">
        <f>P48/(SUM('Loonkosten uitgebreid'!$H$27:$Q$27)*12)</f>
        <v>9.898515891719768</v>
      </c>
      <c r="S48" s="91"/>
      <c r="T48" s="32"/>
      <c r="U48" s="32"/>
    </row>
    <row r="49" spans="1:24" s="82" customFormat="1" ht="13.5" customHeight="1" collapsed="1" thickBot="1" x14ac:dyDescent="0.25">
      <c r="B49" s="42"/>
      <c r="C49" s="42" t="s">
        <v>216</v>
      </c>
      <c r="E49" s="42"/>
      <c r="F49" s="435">
        <f>F47+F48</f>
        <v>157523.31683901371</v>
      </c>
      <c r="G49" s="435">
        <f>G47+G48</f>
        <v>149475.88412778082</v>
      </c>
      <c r="H49" s="436"/>
      <c r="I49" s="437"/>
      <c r="J49" s="42"/>
      <c r="K49" s="435">
        <f>K47+K48</f>
        <v>60569.910065591626</v>
      </c>
      <c r="L49" s="435">
        <f>L47+L48</f>
        <v>119489.8178059081</v>
      </c>
      <c r="M49" s="42"/>
      <c r="N49" s="438"/>
      <c r="O49" s="439"/>
      <c r="P49" s="435">
        <f t="shared" ref="P49:R49" si="0">P47+P48</f>
        <v>50872.475029083595</v>
      </c>
      <c r="Q49" s="435">
        <f t="shared" si="0"/>
        <v>9855.8669775029266</v>
      </c>
      <c r="R49" s="435">
        <f t="shared" si="0"/>
        <v>821.32224812524385</v>
      </c>
      <c r="S49" s="439"/>
      <c r="T49" s="438"/>
      <c r="U49" s="438"/>
    </row>
    <row r="50" spans="1:24" ht="13.5" hidden="1" customHeight="1" x14ac:dyDescent="0.2">
      <c r="B50" s="26"/>
      <c r="C50" s="43"/>
      <c r="D50" s="81"/>
      <c r="E50" s="43"/>
      <c r="F50" s="247"/>
      <c r="G50" s="247"/>
      <c r="H50" s="28"/>
      <c r="I50" s="109"/>
      <c r="J50" s="42"/>
      <c r="K50" s="247"/>
      <c r="L50" s="247"/>
      <c r="M50" s="26"/>
      <c r="O50" s="90"/>
      <c r="P50" s="252"/>
      <c r="Q50" s="252"/>
      <c r="R50" s="252"/>
      <c r="S50" s="90"/>
      <c r="V50" s="17"/>
      <c r="W50" s="17"/>
      <c r="X50" s="17"/>
    </row>
    <row r="51" spans="1:24" ht="13.5" hidden="1" customHeight="1" x14ac:dyDescent="0.2">
      <c r="B51" s="26"/>
      <c r="C51" s="42" t="s">
        <v>115</v>
      </c>
      <c r="E51" s="26"/>
      <c r="F51" s="247"/>
      <c r="G51" s="247"/>
      <c r="H51" s="28"/>
      <c r="I51" s="109"/>
      <c r="J51" s="42"/>
      <c r="K51" s="247"/>
      <c r="L51" s="247"/>
      <c r="M51" s="26"/>
      <c r="O51" s="90"/>
      <c r="P51" s="252"/>
      <c r="Q51" s="252"/>
      <c r="R51" s="252"/>
      <c r="S51" s="90"/>
      <c r="V51" s="17"/>
      <c r="W51" s="17"/>
      <c r="X51" s="17"/>
    </row>
    <row r="52" spans="1:24" ht="13.5" customHeight="1" collapsed="1" thickBot="1" x14ac:dyDescent="0.25">
      <c r="B52" s="26"/>
      <c r="C52" s="28" t="s">
        <v>116</v>
      </c>
      <c r="D52" s="79"/>
      <c r="E52" s="28"/>
      <c r="F52" s="237">
        <f>F44+F49</f>
        <v>622678.27135956171</v>
      </c>
      <c r="G52" s="237">
        <f>G44+G49</f>
        <v>445050.02637435612</v>
      </c>
      <c r="H52" s="122"/>
      <c r="I52" s="109"/>
      <c r="J52" s="28"/>
      <c r="K52" s="237">
        <f>K44+K49</f>
        <v>239964.80694230396</v>
      </c>
      <c r="L52" s="237">
        <f>L44+L49</f>
        <v>478279.2321620725</v>
      </c>
      <c r="M52" s="26"/>
      <c r="O52" s="90"/>
      <c r="P52" s="237">
        <f t="shared" ref="P52:R52" si="1">P44+P49</f>
        <v>60686.180234563057</v>
      </c>
      <c r="Q52" s="237">
        <f t="shared" si="1"/>
        <v>11757.142136738597</v>
      </c>
      <c r="R52" s="237">
        <f t="shared" si="1"/>
        <v>979.76184472821637</v>
      </c>
      <c r="S52" s="90"/>
      <c r="V52" s="17"/>
      <c r="W52" s="17"/>
      <c r="X52" s="17"/>
    </row>
    <row r="53" spans="1:24" ht="19.5" thickBot="1" x14ac:dyDescent="0.25">
      <c r="B53" s="26"/>
      <c r="C53" s="42"/>
      <c r="E53" s="26"/>
      <c r="F53" s="26"/>
      <c r="G53" s="26"/>
      <c r="H53" s="26"/>
      <c r="I53" s="108"/>
      <c r="J53" s="26"/>
      <c r="K53" s="26"/>
      <c r="L53" s="26"/>
      <c r="M53" s="26"/>
      <c r="N53" s="211"/>
      <c r="O53" s="26"/>
      <c r="P53" s="134"/>
      <c r="Q53" s="140"/>
      <c r="R53" s="140"/>
      <c r="S53" s="90"/>
      <c r="V53" s="17"/>
      <c r="W53" s="17"/>
      <c r="X53" s="17"/>
    </row>
    <row r="54" spans="1:24" s="129" customFormat="1" ht="15" customHeight="1" thickBot="1" x14ac:dyDescent="0.25">
      <c r="B54" s="113"/>
      <c r="C54" s="130" t="s">
        <v>142</v>
      </c>
      <c r="E54" s="113"/>
      <c r="F54" s="112"/>
      <c r="G54" s="512">
        <f>G52-F52</f>
        <v>-177628.24498520559</v>
      </c>
      <c r="H54" s="123"/>
      <c r="I54" s="225" t="str">
        <f>"+"</f>
        <v>+</v>
      </c>
      <c r="J54" s="113"/>
      <c r="K54" s="112"/>
      <c r="L54" s="236">
        <f>L52-K52</f>
        <v>238314.42521976854</v>
      </c>
      <c r="M54" s="113"/>
      <c r="N54" s="227" t="str">
        <f>"="</f>
        <v>=</v>
      </c>
      <c r="O54" s="131"/>
      <c r="P54" s="236">
        <f>G54+L54</f>
        <v>60686.180234562955</v>
      </c>
      <c r="Q54" s="236">
        <f>P54/SUM('Loonkosten uitgebreid'!$H$27:$Q$27)</f>
        <v>11757.142136738577</v>
      </c>
      <c r="R54" s="236">
        <f>P54/(SUM('Loonkosten uitgebreid'!$H$27:$Q$27)*12)</f>
        <v>979.76184472821478</v>
      </c>
      <c r="S54" s="131"/>
      <c r="T54" s="132"/>
      <c r="U54" s="132"/>
    </row>
    <row r="55" spans="1:24" s="129" customFormat="1" ht="15" customHeight="1" thickBot="1" x14ac:dyDescent="0.25">
      <c r="B55" s="113"/>
      <c r="C55" s="130"/>
      <c r="E55" s="113"/>
      <c r="F55" s="112"/>
      <c r="G55" s="112"/>
      <c r="H55" s="123"/>
      <c r="I55" s="225"/>
      <c r="J55" s="113"/>
      <c r="K55" s="112"/>
      <c r="L55" s="112"/>
      <c r="M55" s="113"/>
      <c r="N55" s="227"/>
      <c r="O55" s="131"/>
      <c r="P55" s="112"/>
      <c r="Q55" s="112"/>
      <c r="R55" s="112"/>
      <c r="S55" s="131"/>
      <c r="T55" s="132"/>
      <c r="U55" s="132"/>
    </row>
    <row r="56" spans="1:24" ht="13.5" customHeight="1" thickBot="1" x14ac:dyDescent="0.25">
      <c r="B56" s="29"/>
      <c r="C56" s="133" t="s">
        <v>217</v>
      </c>
      <c r="D56" s="34"/>
      <c r="E56" s="29"/>
      <c r="F56" s="237">
        <f>'Loonkosten uitgebreid'!AP61</f>
        <v>93401.740703934236</v>
      </c>
      <c r="G56" s="237">
        <f>'Loonkosten uitgebreid'!BB61</f>
        <v>35604.002109948495</v>
      </c>
      <c r="H56" s="122"/>
      <c r="I56" s="213"/>
      <c r="J56" s="28"/>
      <c r="K56" s="135"/>
      <c r="L56" s="135"/>
      <c r="M56" s="90"/>
      <c r="N56" s="211"/>
      <c r="O56" s="90"/>
      <c r="P56" s="513">
        <f>G56-F56</f>
        <v>-57797.738593985741</v>
      </c>
      <c r="Q56" s="512">
        <f>P56/SUM('Loonkosten uitgebreid'!$H$27:$Q$27)</f>
        <v>-11197.544897454776</v>
      </c>
      <c r="R56" s="512">
        <f>P56/(SUM('Loonkosten uitgebreid'!$H$27:$Q$27)*12)</f>
        <v>-933.12874145456465</v>
      </c>
      <c r="S56" s="90"/>
    </row>
    <row r="57" spans="1:24" ht="13.5" customHeight="1" thickBot="1" x14ac:dyDescent="0.25">
      <c r="B57" s="29"/>
      <c r="C57" s="141" t="s">
        <v>210</v>
      </c>
      <c r="D57" s="142"/>
      <c r="E57" s="143"/>
      <c r="F57" s="248">
        <f>'Invoer gegevens'!U12</f>
        <v>0.15</v>
      </c>
      <c r="G57" s="248">
        <f>'Invoer gegevens'!V12</f>
        <v>0.08</v>
      </c>
      <c r="H57" s="138"/>
      <c r="I57" s="226"/>
      <c r="J57" s="139"/>
      <c r="K57" s="135"/>
      <c r="L57" s="135"/>
      <c r="M57" s="90"/>
      <c r="N57" s="211"/>
      <c r="O57" s="90"/>
      <c r="P57" s="90"/>
      <c r="Q57" s="90"/>
      <c r="R57" s="90"/>
      <c r="S57" s="90"/>
    </row>
    <row r="58" spans="1:24" ht="13.5" customHeight="1" thickBot="1" x14ac:dyDescent="0.25">
      <c r="B58" s="29"/>
      <c r="C58" s="29"/>
      <c r="D58" s="34"/>
      <c r="E58" s="29"/>
      <c r="F58" s="30"/>
      <c r="G58" s="30"/>
      <c r="H58" s="30"/>
      <c r="I58" s="212"/>
      <c r="J58" s="29"/>
      <c r="K58" s="135"/>
      <c r="L58" s="26"/>
      <c r="M58" s="90"/>
      <c r="N58" s="211"/>
      <c r="O58" s="90"/>
      <c r="P58" s="90"/>
      <c r="Q58" s="90"/>
      <c r="R58" s="90"/>
      <c r="S58" s="90"/>
    </row>
    <row r="59" spans="1:24" s="144" customFormat="1" ht="15" customHeight="1" thickBot="1" x14ac:dyDescent="0.25">
      <c r="B59" s="130"/>
      <c r="C59" s="130" t="s">
        <v>142</v>
      </c>
      <c r="E59" s="130"/>
      <c r="F59" s="150"/>
      <c r="G59" s="237">
        <f>G54+G56-F56</f>
        <v>-235425.98357919132</v>
      </c>
      <c r="H59" s="123"/>
      <c r="I59" s="225" t="str">
        <f>"+"</f>
        <v>+</v>
      </c>
      <c r="J59" s="130"/>
      <c r="K59" s="145"/>
      <c r="L59" s="237">
        <f>L54</f>
        <v>238314.42521976854</v>
      </c>
      <c r="M59" s="130"/>
      <c r="N59" s="227" t="str">
        <f>"="</f>
        <v>=</v>
      </c>
      <c r="O59" s="146"/>
      <c r="P59" s="237">
        <f>P54+P56</f>
        <v>2888.4416405772135</v>
      </c>
      <c r="Q59" s="237">
        <f>P59/SUM('Loonkosten uitgebreid'!$H$27:$Q$27)</f>
        <v>559.59723928380197</v>
      </c>
      <c r="R59" s="237">
        <f>P59/(SUM('Loonkosten uitgebreid'!$H$27:$Q$27)*12)</f>
        <v>46.633103273650171</v>
      </c>
      <c r="S59" s="146"/>
      <c r="T59" s="147"/>
      <c r="U59" s="147"/>
    </row>
    <row r="60" spans="1:24" s="16" customFormat="1" ht="12.95" customHeight="1" x14ac:dyDescent="0.2">
      <c r="A60" s="17"/>
      <c r="B60" s="29"/>
      <c r="C60" s="29"/>
      <c r="D60" s="34"/>
      <c r="E60" s="29"/>
      <c r="F60" s="30"/>
      <c r="G60" s="30"/>
      <c r="H60" s="30"/>
      <c r="I60" s="213"/>
      <c r="J60" s="90"/>
      <c r="K60" s="90"/>
      <c r="L60" s="90"/>
      <c r="M60" s="90"/>
      <c r="N60" s="228"/>
      <c r="O60" s="91"/>
      <c r="P60" s="11"/>
      <c r="Q60" s="11"/>
      <c r="R60" s="11"/>
      <c r="S60" s="91"/>
      <c r="T60" s="32"/>
      <c r="U60" s="32"/>
    </row>
    <row r="61" spans="1:24" ht="13.5" customHeight="1" x14ac:dyDescent="0.2">
      <c r="B61" s="34"/>
      <c r="C61" s="34"/>
      <c r="D61" s="34"/>
      <c r="E61" s="34"/>
      <c r="F61" s="128"/>
      <c r="G61" s="77"/>
      <c r="H61" s="77"/>
      <c r="I61" s="77"/>
      <c r="J61" s="34"/>
      <c r="K61" s="109"/>
      <c r="L61" s="17"/>
      <c r="N61" s="211"/>
    </row>
    <row r="64" spans="1:24" ht="13.5" customHeight="1" x14ac:dyDescent="0.2">
      <c r="B64" s="34"/>
      <c r="C64" s="34"/>
      <c r="D64" s="34"/>
      <c r="E64" s="34"/>
      <c r="F64" s="77"/>
      <c r="G64" s="77"/>
      <c r="H64" s="77"/>
      <c r="I64" s="77"/>
      <c r="J64" s="34"/>
      <c r="K64" s="109"/>
      <c r="L64" s="17"/>
    </row>
    <row r="65" spans="2:12" ht="13.5" customHeight="1" x14ac:dyDescent="0.2">
      <c r="B65" s="34"/>
      <c r="C65" s="34"/>
      <c r="D65" s="34"/>
      <c r="E65" s="34"/>
      <c r="F65" s="77"/>
      <c r="G65" s="77"/>
      <c r="H65" s="77"/>
      <c r="I65" s="77"/>
      <c r="J65" s="34"/>
      <c r="K65" s="109"/>
      <c r="L65" s="17"/>
    </row>
    <row r="66" spans="2:12" ht="13.5" customHeight="1" x14ac:dyDescent="0.2">
      <c r="B66" s="34"/>
      <c r="C66" s="34"/>
      <c r="D66" s="34"/>
      <c r="E66" s="34"/>
      <c r="F66" s="77"/>
      <c r="H66" s="77"/>
      <c r="I66" s="77"/>
      <c r="J66" s="34"/>
      <c r="K66" s="109"/>
      <c r="L66" s="17"/>
    </row>
    <row r="67" spans="2:12" ht="13.5" customHeight="1" x14ac:dyDescent="0.2">
      <c r="B67" s="34"/>
      <c r="C67" s="34"/>
      <c r="D67" s="34"/>
      <c r="E67" s="34"/>
      <c r="F67" s="77"/>
      <c r="G67" s="77"/>
      <c r="H67" s="77"/>
      <c r="I67" s="77"/>
      <c r="J67" s="34"/>
      <c r="K67" s="109"/>
      <c r="L67" s="17"/>
    </row>
    <row r="68" spans="2:12" ht="13.5" customHeight="1" x14ac:dyDescent="0.2">
      <c r="B68" s="34"/>
      <c r="C68" s="34"/>
      <c r="D68" s="34"/>
      <c r="E68" s="34"/>
      <c r="F68" s="77"/>
      <c r="G68" s="77"/>
      <c r="H68" s="77"/>
      <c r="I68" s="77"/>
      <c r="J68" s="34"/>
      <c r="K68" s="109"/>
      <c r="L68" s="17"/>
    </row>
    <row r="69" spans="2:12" ht="13.5" customHeight="1" x14ac:dyDescent="0.2">
      <c r="B69" s="34"/>
      <c r="C69" s="34"/>
      <c r="D69" s="34"/>
      <c r="E69" s="34"/>
      <c r="F69" s="77"/>
      <c r="G69" s="77"/>
      <c r="H69" s="77"/>
      <c r="I69" s="77"/>
      <c r="J69" s="34"/>
      <c r="K69" s="109"/>
      <c r="L69" s="17"/>
    </row>
    <row r="70" spans="2:12" ht="13.5" customHeight="1" x14ac:dyDescent="0.2">
      <c r="B70" s="34"/>
      <c r="C70" s="34"/>
      <c r="D70" s="34"/>
      <c r="E70" s="34"/>
      <c r="F70" s="77"/>
      <c r="G70" s="77"/>
      <c r="H70" s="77"/>
      <c r="I70" s="77"/>
      <c r="J70" s="34"/>
      <c r="K70" s="109"/>
      <c r="L70" s="17"/>
    </row>
    <row r="71" spans="2:12" ht="13.5" customHeight="1" x14ac:dyDescent="0.2">
      <c r="B71" s="34"/>
      <c r="C71" s="34"/>
      <c r="D71" s="34"/>
      <c r="E71" s="34"/>
      <c r="F71" s="77"/>
      <c r="G71" s="77"/>
      <c r="H71" s="77"/>
      <c r="I71" s="77"/>
      <c r="J71" s="34"/>
      <c r="K71" s="109"/>
      <c r="L71" s="17"/>
    </row>
    <row r="72" spans="2:12" ht="13.5" customHeight="1" x14ac:dyDescent="0.2">
      <c r="B72" s="34"/>
      <c r="C72" s="34"/>
      <c r="D72" s="34"/>
      <c r="E72" s="34"/>
      <c r="F72" s="77"/>
      <c r="G72" s="77"/>
      <c r="H72" s="77"/>
      <c r="I72" s="77"/>
      <c r="J72" s="34"/>
      <c r="K72" s="109"/>
      <c r="L72" s="17"/>
    </row>
    <row r="73" spans="2:12" ht="13.5" customHeight="1" x14ac:dyDescent="0.2">
      <c r="B73" s="34"/>
      <c r="C73" s="34"/>
      <c r="D73" s="34"/>
      <c r="E73" s="34"/>
      <c r="F73" s="77"/>
      <c r="G73" s="77"/>
      <c r="H73" s="77"/>
      <c r="I73" s="77"/>
      <c r="J73" s="34"/>
      <c r="K73" s="109"/>
      <c r="L73" s="17"/>
    </row>
    <row r="74" spans="2:12" ht="13.5" customHeight="1" x14ac:dyDescent="0.2">
      <c r="B74" s="34"/>
      <c r="C74" s="34"/>
      <c r="D74" s="34"/>
      <c r="E74" s="34"/>
      <c r="F74" s="77"/>
      <c r="G74" s="77"/>
      <c r="H74" s="77"/>
      <c r="I74" s="77"/>
      <c r="J74" s="34"/>
      <c r="K74" s="109"/>
      <c r="L74" s="17"/>
    </row>
    <row r="75" spans="2:12" ht="13.5" customHeight="1" x14ac:dyDescent="0.2">
      <c r="B75" s="34"/>
      <c r="C75" s="34"/>
      <c r="D75" s="34"/>
      <c r="E75" s="34"/>
      <c r="F75" s="77"/>
      <c r="G75" s="77"/>
      <c r="H75" s="77"/>
      <c r="I75" s="77"/>
      <c r="J75" s="34"/>
      <c r="K75" s="109"/>
      <c r="L75" s="17"/>
    </row>
    <row r="76" spans="2:12" ht="13.5" customHeight="1" x14ac:dyDescent="0.2">
      <c r="B76" s="34"/>
      <c r="C76" s="34"/>
      <c r="D76" s="34"/>
      <c r="E76" s="34"/>
      <c r="F76" s="77"/>
      <c r="G76" s="77"/>
      <c r="H76" s="77"/>
      <c r="I76" s="77"/>
      <c r="J76" s="34"/>
      <c r="K76" s="109"/>
      <c r="L76" s="17"/>
    </row>
    <row r="77" spans="2:12" ht="13.5" customHeight="1" x14ac:dyDescent="0.2">
      <c r="B77" s="34"/>
      <c r="C77" s="34"/>
      <c r="D77" s="34"/>
      <c r="E77" s="34"/>
      <c r="F77" s="77"/>
      <c r="G77" s="77"/>
      <c r="H77" s="77"/>
      <c r="I77" s="77"/>
      <c r="J77" s="34"/>
      <c r="K77" s="109"/>
      <c r="L77" s="17"/>
    </row>
    <row r="78" spans="2:12" ht="13.5" customHeight="1" x14ac:dyDescent="0.2">
      <c r="B78" s="34"/>
      <c r="C78" s="34"/>
      <c r="D78" s="34"/>
      <c r="E78" s="34"/>
      <c r="F78" s="77"/>
      <c r="G78" s="77"/>
      <c r="H78" s="77"/>
      <c r="I78" s="77"/>
      <c r="J78" s="34"/>
      <c r="K78" s="109"/>
      <c r="L78" s="17"/>
    </row>
    <row r="79" spans="2:12" ht="13.5" customHeight="1" x14ac:dyDescent="0.2">
      <c r="B79" s="34"/>
      <c r="C79" s="34"/>
      <c r="D79" s="34"/>
      <c r="E79" s="34"/>
      <c r="F79" s="77"/>
      <c r="G79" s="77"/>
      <c r="H79" s="77"/>
      <c r="I79" s="77"/>
      <c r="J79" s="34"/>
      <c r="K79" s="109"/>
      <c r="L79" s="17"/>
    </row>
    <row r="80" spans="2:12" ht="13.5" customHeight="1" x14ac:dyDescent="0.2">
      <c r="B80" s="34"/>
      <c r="C80" s="34"/>
      <c r="D80" s="34"/>
      <c r="E80" s="34"/>
      <c r="F80" s="77"/>
      <c r="G80" s="77"/>
      <c r="H80" s="77"/>
      <c r="I80" s="77"/>
      <c r="J80" s="34"/>
      <c r="K80" s="109"/>
      <c r="L80" s="17"/>
    </row>
    <row r="81" spans="2:12" ht="13.5" customHeight="1" x14ac:dyDescent="0.2">
      <c r="B81" s="34"/>
      <c r="C81" s="75"/>
      <c r="D81" s="34"/>
      <c r="E81" s="34"/>
      <c r="F81" s="77"/>
      <c r="G81" s="77"/>
      <c r="H81" s="77"/>
      <c r="I81" s="77"/>
      <c r="J81" s="34"/>
      <c r="K81" s="109"/>
      <c r="L81" s="17"/>
    </row>
    <row r="82" spans="2:12" ht="13.5" customHeight="1" x14ac:dyDescent="0.2">
      <c r="B82" s="34"/>
      <c r="C82" s="34"/>
      <c r="D82" s="34"/>
      <c r="E82" s="34"/>
      <c r="F82" s="77"/>
      <c r="G82" s="77"/>
      <c r="H82" s="77"/>
      <c r="I82" s="77"/>
      <c r="J82" s="34"/>
      <c r="K82" s="109"/>
      <c r="L82" s="17"/>
    </row>
    <row r="83" spans="2:12" ht="13.5" customHeight="1" x14ac:dyDescent="0.2">
      <c r="B83" s="34"/>
      <c r="C83" s="34"/>
      <c r="D83" s="34"/>
      <c r="E83" s="34"/>
      <c r="F83" s="77"/>
      <c r="G83" s="77"/>
      <c r="H83" s="77"/>
      <c r="I83" s="77"/>
      <c r="J83" s="34"/>
      <c r="K83" s="109"/>
      <c r="L83" s="17"/>
    </row>
    <row r="84" spans="2:12" ht="13.5" customHeight="1" x14ac:dyDescent="0.2">
      <c r="B84" s="34"/>
      <c r="C84" s="34"/>
      <c r="D84" s="34"/>
      <c r="E84" s="34"/>
      <c r="F84" s="77"/>
      <c r="G84" s="77"/>
      <c r="H84" s="77"/>
      <c r="I84" s="77"/>
      <c r="J84" s="34"/>
      <c r="K84" s="109"/>
      <c r="L84" s="17"/>
    </row>
    <row r="85" spans="2:12" ht="13.5" customHeight="1" x14ac:dyDescent="0.2">
      <c r="B85" s="34"/>
      <c r="C85" s="34"/>
      <c r="D85" s="34"/>
      <c r="E85" s="34"/>
      <c r="F85" s="77"/>
      <c r="G85" s="77"/>
      <c r="H85" s="77"/>
      <c r="I85" s="77"/>
      <c r="J85" s="34"/>
      <c r="K85" s="109"/>
      <c r="L85" s="17"/>
    </row>
    <row r="86" spans="2:12" ht="13.5" customHeight="1" x14ac:dyDescent="0.2">
      <c r="B86" s="34"/>
      <c r="C86" s="34"/>
      <c r="D86" s="34"/>
      <c r="E86" s="34"/>
      <c r="F86" s="77"/>
      <c r="G86" s="77"/>
      <c r="H86" s="77"/>
      <c r="I86" s="77"/>
      <c r="J86" s="34"/>
      <c r="K86" s="109"/>
      <c r="L86" s="17"/>
    </row>
    <row r="87" spans="2:12" ht="13.5" customHeight="1" x14ac:dyDescent="0.2">
      <c r="B87" s="34"/>
      <c r="C87" s="34"/>
      <c r="D87" s="34"/>
      <c r="E87" s="34"/>
      <c r="F87" s="77"/>
      <c r="G87" s="77"/>
      <c r="H87" s="77"/>
      <c r="I87" s="77"/>
      <c r="J87" s="34"/>
      <c r="K87" s="109"/>
      <c r="L87" s="17"/>
    </row>
    <row r="88" spans="2:12" ht="13.5" customHeight="1" x14ac:dyDescent="0.2">
      <c r="B88" s="34"/>
      <c r="C88" s="34"/>
      <c r="D88" s="34"/>
      <c r="E88" s="34"/>
      <c r="F88" s="77"/>
      <c r="G88" s="77"/>
      <c r="H88" s="77"/>
      <c r="I88" s="77"/>
      <c r="J88" s="34"/>
      <c r="K88" s="109"/>
      <c r="L88" s="17"/>
    </row>
    <row r="89" spans="2:12" ht="13.5" customHeight="1" x14ac:dyDescent="0.2">
      <c r="B89" s="34"/>
      <c r="C89" s="34"/>
      <c r="D89" s="34"/>
      <c r="E89" s="34"/>
      <c r="F89" s="77"/>
      <c r="G89" s="77"/>
      <c r="H89" s="77"/>
      <c r="I89" s="77"/>
      <c r="J89" s="34"/>
      <c r="K89" s="109"/>
      <c r="L89" s="17"/>
    </row>
    <row r="90" spans="2:12" ht="13.5" customHeight="1" x14ac:dyDescent="0.2">
      <c r="B90" s="34"/>
      <c r="C90" s="34"/>
      <c r="D90" s="34"/>
      <c r="E90" s="34"/>
      <c r="F90" s="77"/>
      <c r="G90" s="77"/>
      <c r="H90" s="77"/>
      <c r="I90" s="77"/>
      <c r="J90" s="34"/>
      <c r="K90" s="109"/>
      <c r="L90" s="17"/>
    </row>
    <row r="91" spans="2:12" ht="13.5" customHeight="1" x14ac:dyDescent="0.2">
      <c r="J91" s="34"/>
      <c r="K91" s="109"/>
      <c r="L91" s="17"/>
    </row>
    <row r="92" spans="2:12" ht="13.5" customHeight="1" x14ac:dyDescent="0.2">
      <c r="K92" s="109"/>
    </row>
    <row r="93" spans="2:12" ht="13.5" customHeight="1" x14ac:dyDescent="0.2">
      <c r="K93" s="109"/>
    </row>
    <row r="94" spans="2:12" ht="13.5" customHeight="1" x14ac:dyDescent="0.2"/>
    <row r="95" spans="2:12" ht="13.5" customHeight="1" x14ac:dyDescent="0.2"/>
    <row r="96" spans="2:12"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row r="152" ht="13.5" customHeight="1" x14ac:dyDescent="0.2"/>
    <row r="153" ht="13.5" customHeight="1" x14ac:dyDescent="0.2"/>
    <row r="154" ht="13.5" customHeight="1" x14ac:dyDescent="0.2"/>
    <row r="155" ht="13.5" customHeight="1" x14ac:dyDescent="0.2"/>
    <row r="156" ht="13.5" customHeight="1" x14ac:dyDescent="0.2"/>
    <row r="157" ht="13.5" customHeight="1" x14ac:dyDescent="0.2"/>
    <row r="158" ht="13.5" customHeight="1" x14ac:dyDescent="0.2"/>
    <row r="159" ht="13.5" customHeight="1" x14ac:dyDescent="0.2"/>
    <row r="160" ht="13.5" customHeight="1" x14ac:dyDescent="0.2"/>
    <row r="161" ht="13.5" customHeight="1" x14ac:dyDescent="0.2"/>
    <row r="162" ht="13.5" customHeight="1" x14ac:dyDescent="0.2"/>
    <row r="163" ht="13.5" customHeight="1" x14ac:dyDescent="0.2"/>
    <row r="164" ht="13.5" customHeight="1" x14ac:dyDescent="0.2"/>
    <row r="165" ht="13.5" customHeight="1" x14ac:dyDescent="0.2"/>
    <row r="166" ht="13.5" customHeight="1" x14ac:dyDescent="0.2"/>
    <row r="167" ht="13.5" customHeight="1" x14ac:dyDescent="0.2"/>
    <row r="168" ht="13.5" customHeight="1" x14ac:dyDescent="0.2"/>
    <row r="169" ht="13.5" customHeight="1" x14ac:dyDescent="0.2"/>
    <row r="170" ht="13.5" customHeight="1" x14ac:dyDescent="0.2"/>
    <row r="171" ht="13.5" customHeight="1" x14ac:dyDescent="0.2"/>
  </sheetData>
  <sheetProtection algorithmName="SHA-512" hashValue="Cg/+AP2Yqv768CuXNFBpqFIB+3OU0OmibacRRgJFu7fQ8QWvQXEWizeNHzXJR2pt4Fe7cbIaNfYFQWo5zNX5jg==" saltValue="pGGJZd90nHBPrxhVg+22OA==" spinCount="100000" sheet="1" sort="0" autoFilter="0"/>
  <mergeCells count="8">
    <mergeCell ref="C8:G8"/>
    <mergeCell ref="P34:R34"/>
    <mergeCell ref="F18:G18"/>
    <mergeCell ref="K18:L18"/>
    <mergeCell ref="P10:Q14"/>
    <mergeCell ref="F21:G21"/>
    <mergeCell ref="F12:G12"/>
    <mergeCell ref="K12:L12"/>
  </mergeCells>
  <dataValidations count="1">
    <dataValidation type="list" allowBlank="1" showInputMessage="1" showErrorMessage="1" sqref="K37:L37 F37:H37">
      <formula1>#REF!</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B8:O25"/>
  <sheetViews>
    <sheetView tabSelected="1" topLeftCell="A13" workbookViewId="0">
      <selection activeCell="E34" sqref="E34"/>
    </sheetView>
  </sheetViews>
  <sheetFormatPr defaultColWidth="9.140625" defaultRowHeight="14.25" x14ac:dyDescent="0.2"/>
  <cols>
    <col min="1" max="1" width="4" style="56" customWidth="1"/>
    <col min="2" max="2" width="2.42578125" style="56" customWidth="1"/>
    <col min="3" max="3" width="51.5703125" style="56" customWidth="1"/>
    <col min="4" max="7" width="13.28515625" style="56" customWidth="1"/>
    <col min="8" max="8" width="2.5703125" style="56" customWidth="1"/>
    <col min="9" max="9" width="2.42578125" style="56" customWidth="1"/>
    <col min="10" max="10" width="2.85546875" style="56" customWidth="1"/>
    <col min="11" max="14" width="13.28515625" style="56" customWidth="1"/>
    <col min="15" max="15" width="2.28515625" style="56" customWidth="1"/>
    <col min="16" max="16384" width="9.140625" style="56"/>
  </cols>
  <sheetData>
    <row r="8" spans="2:15" ht="15" x14ac:dyDescent="0.2">
      <c r="B8" s="28"/>
      <c r="C8" s="29"/>
      <c r="D8" s="29"/>
      <c r="E8" s="29"/>
      <c r="F8" s="148"/>
      <c r="G8" s="30"/>
      <c r="H8" s="30"/>
    </row>
    <row r="9" spans="2:15" ht="30" customHeight="1" x14ac:dyDescent="0.2">
      <c r="B9" s="29"/>
      <c r="C9" s="545" t="s">
        <v>254</v>
      </c>
      <c r="D9" s="546"/>
      <c r="E9" s="546"/>
      <c r="F9" s="546"/>
      <c r="G9" s="546"/>
      <c r="H9" s="30"/>
    </row>
    <row r="10" spans="2:15" ht="15" x14ac:dyDescent="0.2">
      <c r="B10" s="29"/>
      <c r="C10" s="29"/>
      <c r="D10" s="29"/>
      <c r="E10" s="29"/>
      <c r="F10" s="30"/>
      <c r="G10" s="30"/>
      <c r="H10" s="30"/>
    </row>
    <row r="11" spans="2:15" ht="15" x14ac:dyDescent="0.2">
      <c r="B11" s="34"/>
      <c r="C11" s="34"/>
      <c r="D11" s="34"/>
      <c r="E11" s="34"/>
      <c r="F11" s="77"/>
      <c r="G11" s="77"/>
      <c r="H11" s="77"/>
    </row>
    <row r="12" spans="2:15" ht="23.25" x14ac:dyDescent="0.2">
      <c r="B12" s="232" t="s">
        <v>161</v>
      </c>
      <c r="C12" s="231"/>
      <c r="D12" s="235" t="s">
        <v>113</v>
      </c>
      <c r="E12" s="97"/>
      <c r="F12" s="97"/>
      <c r="G12" s="99"/>
      <c r="H12" s="99"/>
      <c r="I12" s="99"/>
      <c r="K12" s="215" t="s">
        <v>114</v>
      </c>
    </row>
    <row r="13" spans="2:15" ht="15" customHeight="1" x14ac:dyDescent="0.2">
      <c r="B13" s="233" t="s">
        <v>223</v>
      </c>
      <c r="C13" s="231"/>
      <c r="D13" s="557">
        <f>'Invoer gegevens'!E13</f>
        <v>0</v>
      </c>
      <c r="E13" s="558"/>
      <c r="F13" s="97"/>
      <c r="G13" s="99"/>
      <c r="H13" s="99"/>
      <c r="I13" s="99"/>
      <c r="J13" s="100"/>
      <c r="K13" s="557" t="str">
        <f>'Invoer gegevens'!M13</f>
        <v>Y</v>
      </c>
      <c r="L13" s="558"/>
    </row>
    <row r="14" spans="2:15" ht="15" customHeight="1" x14ac:dyDescent="0.2">
      <c r="B14" s="151"/>
      <c r="D14" s="35"/>
      <c r="E14" s="152"/>
      <c r="F14" s="97"/>
      <c r="G14" s="99"/>
      <c r="H14" s="99"/>
      <c r="I14" s="99"/>
      <c r="J14" s="98"/>
      <c r="K14" s="35"/>
      <c r="L14" s="152"/>
    </row>
    <row r="15" spans="2:15" ht="15" customHeight="1" x14ac:dyDescent="0.2">
      <c r="B15" s="234" t="e">
        <f>+#REF! &amp;" " &amp;#REF!</f>
        <v>#REF!</v>
      </c>
      <c r="M15" s="89"/>
      <c r="N15" s="88"/>
    </row>
    <row r="16" spans="2:15" ht="15" customHeight="1" x14ac:dyDescent="0.2">
      <c r="B16" s="26"/>
      <c r="C16" s="26"/>
      <c r="D16" s="27"/>
      <c r="E16" s="27"/>
      <c r="F16" s="27"/>
      <c r="G16" s="27"/>
      <c r="H16" s="26"/>
      <c r="J16" s="26"/>
      <c r="K16" s="27"/>
      <c r="L16" s="27"/>
      <c r="M16" s="27"/>
      <c r="N16" s="27"/>
      <c r="O16" s="26"/>
    </row>
    <row r="17" spans="2:15" ht="15.75" thickBot="1" x14ac:dyDescent="0.25">
      <c r="B17" s="26"/>
      <c r="C17" s="28" t="str">
        <f>"BRUTO-NETTO TRAJECT "&amp;'Invoer gegevens'!E19&amp;" WERKNEMER (indicatief)"</f>
        <v>BRUTO-NETTO TRAJECT 2025 WERKNEMER (indicatief)</v>
      </c>
      <c r="D17" s="27"/>
      <c r="E17" s="27"/>
      <c r="F17" s="27"/>
      <c r="G17" s="27"/>
      <c r="H17" s="26"/>
      <c r="J17" s="26"/>
      <c r="K17" s="27"/>
      <c r="L17" s="27"/>
      <c r="M17" s="27"/>
      <c r="N17" s="27"/>
      <c r="O17" s="26"/>
    </row>
    <row r="18" spans="2:15" ht="15.75" thickBot="1" x14ac:dyDescent="0.25">
      <c r="B18" s="26"/>
      <c r="C18" s="26"/>
      <c r="D18" s="561" t="s">
        <v>16</v>
      </c>
      <c r="E18" s="562"/>
      <c r="F18" s="559" t="s">
        <v>17</v>
      </c>
      <c r="G18" s="560"/>
      <c r="H18" s="26"/>
      <c r="J18" s="26"/>
      <c r="K18" s="561" t="s">
        <v>108</v>
      </c>
      <c r="L18" s="562"/>
      <c r="M18" s="559" t="s">
        <v>109</v>
      </c>
      <c r="N18" s="560"/>
      <c r="O18" s="26"/>
    </row>
    <row r="19" spans="2:15" ht="15.75" thickBot="1" x14ac:dyDescent="0.25">
      <c r="B19" s="42"/>
      <c r="C19" s="28"/>
      <c r="D19" s="229" t="s">
        <v>99</v>
      </c>
      <c r="E19" s="229" t="s">
        <v>100</v>
      </c>
      <c r="F19" s="229" t="s">
        <v>99</v>
      </c>
      <c r="G19" s="229" t="s">
        <v>100</v>
      </c>
      <c r="H19" s="26"/>
      <c r="J19" s="42"/>
      <c r="K19" s="229" t="s">
        <v>99</v>
      </c>
      <c r="L19" s="229" t="s">
        <v>100</v>
      </c>
      <c r="M19" s="229" t="s">
        <v>99</v>
      </c>
      <c r="N19" s="229" t="s">
        <v>100</v>
      </c>
      <c r="O19" s="26"/>
    </row>
    <row r="20" spans="2:15" ht="15.75" thickBot="1" x14ac:dyDescent="0.25">
      <c r="B20" s="42"/>
      <c r="C20" s="26" t="s">
        <v>221</v>
      </c>
      <c r="D20" s="236">
        <f>'Inkomensgevolgen uitgebreid'!D17</f>
        <v>7509.8</v>
      </c>
      <c r="E20" s="236">
        <f>'Inkomensgevolgen uitgebreid'!O17</f>
        <v>4795.2649999999994</v>
      </c>
      <c r="F20" s="236">
        <f>'Inkomensgevolgen uitgebreid'!Z17</f>
        <v>90117.6</v>
      </c>
      <c r="G20" s="236">
        <f>'Inkomensgevolgen uitgebreid'!AK17</f>
        <v>57543.18</v>
      </c>
      <c r="H20" s="26"/>
      <c r="J20" s="26"/>
      <c r="K20" s="236">
        <f>'Inkomensgevolgen uitgebreid'!D48</f>
        <v>2637.2</v>
      </c>
      <c r="L20" s="236">
        <f>'Inkomensgevolgen uitgebreid'!O48</f>
        <v>5274.4</v>
      </c>
      <c r="M20" s="236">
        <f>'Inkomensgevolgen uitgebreid'!Z48</f>
        <v>31646.400000000001</v>
      </c>
      <c r="N20" s="236">
        <f>'Inkomensgevolgen uitgebreid'!AK48</f>
        <v>63292.800000000003</v>
      </c>
      <c r="O20" s="26"/>
    </row>
    <row r="21" spans="2:15" ht="15.75" collapsed="1" thickBot="1" x14ac:dyDescent="0.25">
      <c r="B21" s="42"/>
      <c r="C21" s="26" t="s">
        <v>54</v>
      </c>
      <c r="D21" s="236">
        <f>'Inkomensgevolgen uitgebreid'!D24</f>
        <v>497.31651000000011</v>
      </c>
      <c r="E21" s="236">
        <f>'Inkomensgevolgen uitgebreid'!O24</f>
        <v>497.31651000000011</v>
      </c>
      <c r="F21" s="236">
        <f>'Inkomensgevolgen uitgebreid'!Z24</f>
        <v>5967.7981200000013</v>
      </c>
      <c r="G21" s="236">
        <f>'Inkomensgevolgen uitgebreid'!AK24</f>
        <v>5967.7981200000013</v>
      </c>
      <c r="H21" s="26"/>
      <c r="J21" s="42"/>
      <c r="K21" s="236">
        <f>'Inkomensgevolgen uitgebreid'!D55</f>
        <v>155.106765</v>
      </c>
      <c r="L21" s="236">
        <f>'Inkomensgevolgen uitgebreid'!O55</f>
        <v>310.21352999999999</v>
      </c>
      <c r="M21" s="236">
        <f>'Inkomensgevolgen uitgebreid'!Z55</f>
        <v>1861.2811800000002</v>
      </c>
      <c r="N21" s="236">
        <f>'Inkomensgevolgen uitgebreid'!AK55</f>
        <v>3722.5623600000004</v>
      </c>
      <c r="O21" s="26"/>
    </row>
    <row r="22" spans="2:15" ht="15.75" collapsed="1" thickBot="1" x14ac:dyDescent="0.25">
      <c r="B22" s="26"/>
      <c r="C22" s="26" t="s">
        <v>91</v>
      </c>
      <c r="D22" s="236">
        <f>'Inkomensgevolgen uitgebreid'!D35</f>
        <v>0</v>
      </c>
      <c r="E22" s="236">
        <f>'Inkomensgevolgen uitgebreid'!O35</f>
        <v>0</v>
      </c>
      <c r="F22" s="236">
        <f>'Inkomensgevolgen uitgebreid'!Z35</f>
        <v>0</v>
      </c>
      <c r="G22" s="236">
        <f>'Inkomensgevolgen uitgebreid'!AK35</f>
        <v>0</v>
      </c>
      <c r="H22" s="26"/>
      <c r="J22" s="26"/>
      <c r="K22" s="236">
        <f>'Inkomensgevolgen uitgebreid'!D66</f>
        <v>320.75180486598333</v>
      </c>
      <c r="L22" s="236">
        <f>'Inkomensgevolgen uitgebreid'!O66</f>
        <v>1477.4045164902336</v>
      </c>
      <c r="M22" s="236">
        <f>'Inkomensgevolgen uitgebreid'!Z66</f>
        <v>3849.0216583918</v>
      </c>
      <c r="N22" s="236">
        <f>'Inkomensgevolgen uitgebreid'!AK66</f>
        <v>17728.8541978828</v>
      </c>
      <c r="O22" s="26"/>
    </row>
    <row r="23" spans="2:15" ht="15.75" thickBot="1" x14ac:dyDescent="0.3">
      <c r="B23" s="26"/>
      <c r="C23" s="28" t="s">
        <v>90</v>
      </c>
      <c r="D23" s="237">
        <f>D20-D21-D22</f>
        <v>7012.4834900000005</v>
      </c>
      <c r="E23" s="237">
        <f>E20-E21-E22</f>
        <v>4297.9484899999989</v>
      </c>
      <c r="F23" s="237">
        <f>F20-F21-F22</f>
        <v>84149.801879999999</v>
      </c>
      <c r="G23" s="237">
        <f>G20-G21-G22</f>
        <v>51575.381880000001</v>
      </c>
      <c r="H23" s="28"/>
      <c r="I23" s="92"/>
      <c r="J23" s="28"/>
      <c r="K23" s="237">
        <f>K20-K21-K22</f>
        <v>2161.3414301340163</v>
      </c>
      <c r="L23" s="237">
        <f>L20-L21-L22</f>
        <v>3486.781953509766</v>
      </c>
      <c r="M23" s="237">
        <f>M20-M21-M22</f>
        <v>25936.097161608199</v>
      </c>
      <c r="N23" s="237">
        <f>N20-N21-N22</f>
        <v>41841.3834421172</v>
      </c>
      <c r="O23" s="28"/>
    </row>
    <row r="24" spans="2:15" ht="15.75" thickBot="1" x14ac:dyDescent="0.3">
      <c r="B24" s="26"/>
      <c r="C24" s="28" t="s">
        <v>222</v>
      </c>
      <c r="D24" s="122"/>
      <c r="E24" s="237">
        <f>E23-D23</f>
        <v>-2714.5350000000017</v>
      </c>
      <c r="F24" s="122"/>
      <c r="G24" s="237">
        <f>G23-F23</f>
        <v>-32574.42</v>
      </c>
      <c r="H24" s="28"/>
      <c r="I24" s="92"/>
      <c r="J24" s="28"/>
      <c r="K24" s="122"/>
      <c r="L24" s="237">
        <f>L23-K23</f>
        <v>1325.4405233757498</v>
      </c>
      <c r="M24" s="122"/>
      <c r="N24" s="237">
        <f>N23-M23</f>
        <v>15905.286280509001</v>
      </c>
      <c r="O24" s="28"/>
    </row>
    <row r="25" spans="2:15" ht="15" x14ac:dyDescent="0.2">
      <c r="B25" s="26"/>
      <c r="C25" s="26"/>
      <c r="D25" s="26"/>
      <c r="E25" s="26"/>
      <c r="F25" s="26"/>
      <c r="G25" s="26"/>
      <c r="H25" s="26"/>
      <c r="J25" s="26"/>
      <c r="K25" s="26"/>
      <c r="L25" s="26"/>
      <c r="M25" s="26"/>
      <c r="N25" s="26"/>
      <c r="O25" s="26"/>
    </row>
  </sheetData>
  <sheetProtection algorithmName="SHA-512" hashValue="ClpnlW9ZuB+UI048mXuXc0ol5u191kF7hT/A64dMI2zttmdYBK6cN3QFZr7zKIYjdMxoPBGbFhUCQK0SkWAHGw==" saltValue="OSOCOiY1ckbJLmqtLpZhqg==" spinCount="100000" sheet="1" sort="0" autoFilter="0"/>
  <mergeCells count="7">
    <mergeCell ref="M18:N18"/>
    <mergeCell ref="C9:G9"/>
    <mergeCell ref="D13:E13"/>
    <mergeCell ref="K13:L13"/>
    <mergeCell ref="D18:E18"/>
    <mergeCell ref="F18:G18"/>
    <mergeCell ref="K18:L1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8"/>
  <dimension ref="A1:CD129"/>
  <sheetViews>
    <sheetView showGridLines="0" topLeftCell="A18" zoomScale="80" zoomScaleNormal="80" workbookViewId="0">
      <pane xSplit="7" ySplit="5" topLeftCell="H23" activePane="bottomRight" state="frozen"/>
      <selection activeCell="A18" sqref="A18"/>
      <selection pane="topRight" activeCell="H18" sqref="H18"/>
      <selection pane="bottomLeft" activeCell="A23" sqref="A23"/>
      <selection pane="bottomRight" activeCell="F18" sqref="F1:G1048576"/>
    </sheetView>
  </sheetViews>
  <sheetFormatPr defaultColWidth="9.7109375" defaultRowHeight="15" x14ac:dyDescent="0.2"/>
  <cols>
    <col min="1" max="1" width="2.5703125" style="17" customWidth="1"/>
    <col min="2" max="2" width="1.5703125" style="17" customWidth="1"/>
    <col min="3" max="3" width="49.28515625" style="17" bestFit="1" customWidth="1"/>
    <col min="4" max="4" width="29.5703125" style="17" customWidth="1"/>
    <col min="5" max="5" width="2.140625" style="17" customWidth="1"/>
    <col min="6" max="6" width="5.5703125" style="580" bestFit="1" customWidth="1"/>
    <col min="7" max="7" width="11.28515625" style="579" bestFit="1" customWidth="1"/>
    <col min="8" max="8" width="21" style="35" bestFit="1" customWidth="1"/>
    <col min="9" max="11" width="13.7109375" style="35" customWidth="1"/>
    <col min="12" max="13" width="13.7109375" style="17" customWidth="1"/>
    <col min="14" max="18" width="13.7109375" style="75" customWidth="1"/>
    <col min="19" max="19" width="3.140625" style="75" customWidth="1"/>
    <col min="20" max="30" width="13.7109375" style="75" customWidth="1"/>
    <col min="31" max="31" width="2.85546875" style="75" customWidth="1"/>
    <col min="32" max="42" width="13.7109375" style="75" customWidth="1"/>
    <col min="43" max="43" width="3.140625" style="75" customWidth="1"/>
    <col min="44" max="49" width="13.7109375" style="75" customWidth="1"/>
    <col min="50" max="54" width="13.7109375" style="17" customWidth="1"/>
    <col min="55" max="55" width="4.140625" style="17" customWidth="1"/>
    <col min="56" max="16384" width="9.7109375" style="17"/>
  </cols>
  <sheetData>
    <row r="1" spans="1:54" ht="12.95" customHeight="1" x14ac:dyDescent="0.2"/>
    <row r="2" spans="1:54" s="97" customFormat="1" ht="23.25" x14ac:dyDescent="0.2">
      <c r="B2" s="223" t="s">
        <v>155</v>
      </c>
      <c r="C2" s="275"/>
      <c r="F2" s="583"/>
      <c r="G2" s="583"/>
      <c r="I2" s="99"/>
      <c r="J2" s="99"/>
      <c r="K2" s="99"/>
      <c r="M2" s="110"/>
      <c r="O2" s="101"/>
      <c r="Q2" s="102"/>
      <c r="R2" s="102"/>
      <c r="S2" s="102"/>
      <c r="T2" s="101"/>
      <c r="U2" s="101"/>
      <c r="V2" s="101"/>
      <c r="W2" s="101"/>
      <c r="X2" s="101"/>
      <c r="Y2" s="101"/>
      <c r="Z2" s="101"/>
      <c r="AA2" s="101"/>
      <c r="AB2" s="101"/>
      <c r="AC2" s="101"/>
      <c r="AD2" s="101"/>
      <c r="AE2" s="101"/>
      <c r="AF2" s="110" t="s">
        <v>160</v>
      </c>
      <c r="AG2" s="110"/>
      <c r="AH2" s="110"/>
      <c r="AI2" s="110"/>
      <c r="AJ2" s="110"/>
      <c r="AK2" s="110"/>
      <c r="AL2" s="110"/>
      <c r="AM2" s="110"/>
      <c r="AN2" s="110"/>
      <c r="AO2" s="110"/>
      <c r="AP2" s="110"/>
      <c r="AQ2" s="110"/>
      <c r="AR2" s="215" t="s">
        <v>143</v>
      </c>
    </row>
    <row r="3" spans="1:54" s="103" customFormat="1" ht="17.25" customHeight="1" x14ac:dyDescent="0.2">
      <c r="B3" s="224" t="e">
        <f>+#REF! &amp;" " &amp;#REF!</f>
        <v>#REF!</v>
      </c>
      <c r="C3" s="278"/>
      <c r="F3" s="584"/>
      <c r="G3" s="585"/>
      <c r="H3" s="104"/>
      <c r="I3" s="104"/>
      <c r="J3" s="104"/>
      <c r="K3" s="104"/>
      <c r="N3" s="105"/>
      <c r="O3" s="106"/>
      <c r="P3" s="107"/>
      <c r="Q3" s="107"/>
      <c r="R3" s="107"/>
      <c r="S3" s="107"/>
      <c r="T3" s="106"/>
      <c r="U3" s="106"/>
      <c r="V3" s="106"/>
      <c r="W3" s="106"/>
      <c r="X3" s="106"/>
      <c r="Y3" s="106"/>
      <c r="Z3" s="106"/>
      <c r="AA3" s="106"/>
      <c r="AB3" s="106"/>
      <c r="AC3" s="106"/>
      <c r="AD3" s="106"/>
      <c r="AE3" s="106"/>
    </row>
    <row r="4" spans="1:54" ht="12.95" customHeight="1" x14ac:dyDescent="0.2">
      <c r="H4" s="78"/>
      <c r="I4" s="78"/>
      <c r="J4" s="78"/>
      <c r="K4" s="78"/>
      <c r="N4" s="12"/>
      <c r="O4" s="12"/>
      <c r="P4" s="14"/>
      <c r="Q4" s="14"/>
      <c r="R4" s="14"/>
      <c r="S4" s="14"/>
      <c r="T4" s="12"/>
      <c r="U4" s="12"/>
      <c r="V4" s="12"/>
      <c r="W4" s="12"/>
      <c r="X4" s="12"/>
      <c r="Y4" s="12"/>
      <c r="Z4" s="12"/>
      <c r="AA4" s="12"/>
      <c r="AB4" s="12"/>
      <c r="AC4" s="12"/>
      <c r="AD4" s="12"/>
      <c r="AE4" s="12"/>
    </row>
    <row r="5" spans="1:54" s="16" customFormat="1" ht="12.95" customHeight="1" x14ac:dyDescent="0.2">
      <c r="B5" s="11"/>
      <c r="C5" s="26"/>
      <c r="D5" s="26"/>
      <c r="E5" s="17"/>
      <c r="F5" s="586"/>
      <c r="G5" s="587"/>
      <c r="H5" s="44"/>
      <c r="I5" s="44"/>
      <c r="J5" s="44"/>
      <c r="K5" s="44"/>
      <c r="L5" s="26"/>
      <c r="M5" s="17"/>
      <c r="AU5" s="32"/>
      <c r="AV5" s="32"/>
      <c r="AW5" s="32"/>
    </row>
    <row r="6" spans="1:54" s="16" customFormat="1" ht="23.25" x14ac:dyDescent="0.2">
      <c r="B6" s="11"/>
      <c r="C6" s="28" t="s">
        <v>47</v>
      </c>
      <c r="D6" s="28"/>
      <c r="E6" s="79"/>
      <c r="F6" s="586"/>
      <c r="G6" s="587"/>
      <c r="H6" s="286" t="s">
        <v>113</v>
      </c>
      <c r="I6" s="283"/>
      <c r="J6" s="283"/>
      <c r="K6" s="283"/>
      <c r="L6" s="282"/>
      <c r="M6" s="57"/>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4"/>
      <c r="AV6" s="284"/>
      <c r="AW6" s="284"/>
      <c r="AX6" s="280"/>
      <c r="AY6" s="280"/>
      <c r="AZ6" s="280"/>
      <c r="BA6" s="280"/>
      <c r="BB6" s="280"/>
    </row>
    <row r="7" spans="1:54" s="16" customFormat="1" ht="12.95" customHeight="1" thickBot="1" x14ac:dyDescent="0.25">
      <c r="B7" s="11"/>
      <c r="C7" s="47"/>
      <c r="D7" s="47"/>
      <c r="E7" s="80"/>
      <c r="F7" s="586"/>
      <c r="G7" s="587"/>
      <c r="H7" s="287"/>
      <c r="I7" s="287"/>
      <c r="J7" s="287"/>
      <c r="K7" s="287"/>
      <c r="L7" s="282"/>
      <c r="M7" s="57"/>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4"/>
      <c r="AV7" s="284"/>
      <c r="AW7" s="284"/>
      <c r="AX7" s="280"/>
      <c r="AY7" s="280"/>
      <c r="AZ7" s="280"/>
      <c r="BA7" s="280"/>
      <c r="BB7" s="280"/>
    </row>
    <row r="8" spans="1:54" s="16" customFormat="1" ht="12.95" customHeight="1" thickTop="1" thickBot="1" x14ac:dyDescent="0.25">
      <c r="B8" s="11"/>
      <c r="C8" s="26" t="s">
        <v>18</v>
      </c>
      <c r="D8" s="563">
        <f>'Invoer gegevens'!E13</f>
        <v>0</v>
      </c>
      <c r="E8" s="564"/>
      <c r="F8" s="586"/>
      <c r="G8" s="587"/>
      <c r="H8" s="11"/>
      <c r="I8" s="11"/>
      <c r="J8" s="283"/>
      <c r="K8" s="283"/>
      <c r="L8" s="282"/>
      <c r="M8" s="57"/>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4"/>
      <c r="AV8" s="284"/>
      <c r="AW8" s="284"/>
      <c r="AX8" s="280"/>
      <c r="AY8" s="280"/>
      <c r="AZ8" s="280"/>
      <c r="BA8" s="280"/>
      <c r="BB8" s="280"/>
    </row>
    <row r="9" spans="1:54" s="16" customFormat="1" ht="12.95" customHeight="1" thickTop="1" thickBot="1" x14ac:dyDescent="0.25">
      <c r="A9" s="31"/>
      <c r="B9" s="15"/>
      <c r="C9" s="26" t="s">
        <v>31</v>
      </c>
      <c r="D9" s="288">
        <f>'Invoer gegevens'!E14</f>
        <v>23012</v>
      </c>
      <c r="E9" s="283"/>
      <c r="F9" s="586"/>
      <c r="G9" s="587"/>
      <c r="H9" s="11"/>
      <c r="I9" s="11"/>
      <c r="J9" s="283"/>
      <c r="K9" s="283"/>
      <c r="L9" s="282"/>
      <c r="M9" s="57"/>
      <c r="N9" s="280"/>
      <c r="O9" s="280"/>
      <c r="P9" s="280"/>
      <c r="Q9" s="280"/>
      <c r="R9" s="280"/>
      <c r="S9" s="280"/>
      <c r="T9" s="280"/>
      <c r="U9" s="280"/>
      <c r="V9" s="280"/>
      <c r="W9" s="280"/>
      <c r="X9" s="280"/>
      <c r="Y9" s="280"/>
      <c r="Z9" s="280"/>
      <c r="AA9" s="280"/>
      <c r="AB9" s="280"/>
      <c r="AC9" s="280"/>
      <c r="AD9" s="280"/>
      <c r="AE9" s="280"/>
      <c r="AF9" s="280"/>
      <c r="AG9" s="280"/>
      <c r="AH9" s="280"/>
      <c r="AI9" s="280"/>
      <c r="AJ9" s="280"/>
      <c r="AK9" s="280"/>
      <c r="AL9" s="280"/>
      <c r="AM9" s="280"/>
      <c r="AN9" s="280"/>
      <c r="AO9" s="280"/>
      <c r="AP9" s="280"/>
      <c r="AQ9" s="280"/>
      <c r="AR9" s="280"/>
      <c r="AS9" s="280"/>
      <c r="AT9" s="280"/>
      <c r="AU9" s="284"/>
      <c r="AV9" s="284"/>
      <c r="AW9" s="284"/>
      <c r="AX9" s="280"/>
      <c r="AY9" s="280"/>
      <c r="AZ9" s="280"/>
      <c r="BA9" s="280"/>
      <c r="BB9" s="280"/>
    </row>
    <row r="10" spans="1:54" s="16" customFormat="1" ht="12.95" customHeight="1" thickTop="1" thickBot="1" x14ac:dyDescent="0.25">
      <c r="B10" s="15"/>
      <c r="C10" s="26"/>
      <c r="D10" s="283"/>
      <c r="E10" s="283"/>
      <c r="F10" s="586"/>
      <c r="G10" s="587"/>
      <c r="H10" s="11"/>
      <c r="I10" s="11"/>
      <c r="J10" s="283"/>
      <c r="K10" s="283"/>
      <c r="L10" s="282"/>
      <c r="M10" s="57"/>
      <c r="N10" s="280"/>
      <c r="O10" s="280"/>
      <c r="P10" s="280"/>
      <c r="Q10" s="280"/>
      <c r="R10" s="280"/>
      <c r="S10" s="280"/>
      <c r="T10" s="280"/>
      <c r="U10" s="280"/>
      <c r="V10" s="280"/>
      <c r="W10" s="280"/>
      <c r="X10" s="280"/>
      <c r="Y10" s="280"/>
      <c r="Z10" s="280"/>
      <c r="AA10" s="280"/>
      <c r="AB10" s="280"/>
      <c r="AC10" s="280"/>
      <c r="AD10" s="280"/>
      <c r="AE10" s="280"/>
      <c r="AF10" s="280"/>
      <c r="AG10" s="280"/>
      <c r="AH10" s="280"/>
      <c r="AI10" s="280"/>
      <c r="AJ10" s="280"/>
      <c r="AK10" s="280"/>
      <c r="AL10" s="280"/>
      <c r="AM10" s="280"/>
      <c r="AN10" s="280"/>
      <c r="AO10" s="280"/>
      <c r="AP10" s="280"/>
      <c r="AQ10" s="280"/>
      <c r="AR10" s="280"/>
      <c r="AS10" s="280"/>
      <c r="AT10" s="280"/>
      <c r="AU10" s="284"/>
      <c r="AV10" s="284"/>
      <c r="AW10" s="284"/>
      <c r="AX10" s="280"/>
      <c r="AY10" s="280"/>
      <c r="AZ10" s="280"/>
      <c r="BA10" s="280"/>
      <c r="BB10" s="280"/>
    </row>
    <row r="11" spans="1:54" s="16" customFormat="1" ht="12.95" customHeight="1" thickTop="1" thickBot="1" x14ac:dyDescent="0.25">
      <c r="B11" s="15"/>
      <c r="C11" s="26" t="s">
        <v>79</v>
      </c>
      <c r="D11" s="425" t="s">
        <v>75</v>
      </c>
      <c r="E11" s="283"/>
      <c r="F11" s="586"/>
      <c r="G11" s="587"/>
      <c r="H11" s="11"/>
      <c r="I11" s="11"/>
      <c r="J11" s="283"/>
      <c r="K11" s="283"/>
      <c r="L11" s="282"/>
      <c r="M11" s="57"/>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4"/>
      <c r="AV11" s="284"/>
      <c r="AW11" s="284"/>
      <c r="AX11" s="280"/>
      <c r="AY11" s="280"/>
      <c r="AZ11" s="280"/>
      <c r="BA11" s="280"/>
      <c r="BB11" s="280"/>
    </row>
    <row r="12" spans="1:54" s="16" customFormat="1" ht="12.95" customHeight="1" thickTop="1" thickBot="1" x14ac:dyDescent="0.25">
      <c r="B12" s="15"/>
      <c r="C12" s="26" t="s">
        <v>98</v>
      </c>
      <c r="D12" s="290">
        <f>'Invoer gegevens'!F26</f>
        <v>0.5</v>
      </c>
      <c r="E12" s="283"/>
      <c r="F12" s="586"/>
      <c r="G12" s="587"/>
      <c r="H12" s="11"/>
      <c r="I12" s="11"/>
      <c r="J12" s="283"/>
      <c r="K12" s="283"/>
      <c r="L12" s="282"/>
      <c r="M12" s="57"/>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4"/>
      <c r="AV12" s="284"/>
      <c r="AW12" s="284"/>
      <c r="AX12" s="280"/>
      <c r="AY12" s="280"/>
      <c r="AZ12" s="280"/>
      <c r="BA12" s="280"/>
      <c r="BB12" s="280"/>
    </row>
    <row r="13" spans="1:54" s="16" customFormat="1" ht="12.95" customHeight="1" thickTop="1" thickBot="1" x14ac:dyDescent="0.25">
      <c r="B13" s="15"/>
      <c r="C13" s="62" t="s">
        <v>351</v>
      </c>
      <c r="D13" s="290" t="str">
        <f>'Invoer gegevens'!F28</f>
        <v>ja</v>
      </c>
      <c r="E13" s="283"/>
      <c r="F13" s="586"/>
      <c r="G13" s="587"/>
      <c r="H13" s="11"/>
      <c r="I13" s="11"/>
      <c r="J13" s="283"/>
      <c r="K13" s="283"/>
      <c r="L13" s="282"/>
      <c r="M13" s="57"/>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4"/>
      <c r="AV13" s="284"/>
      <c r="AW13" s="284"/>
      <c r="AX13" s="280"/>
      <c r="AY13" s="280"/>
      <c r="AZ13" s="280"/>
      <c r="BA13" s="280"/>
      <c r="BB13" s="280"/>
    </row>
    <row r="14" spans="1:54" s="16" customFormat="1" ht="12.95" customHeight="1" thickTop="1" thickBot="1" x14ac:dyDescent="0.25">
      <c r="B14" s="15"/>
      <c r="C14" s="26" t="s">
        <v>76</v>
      </c>
      <c r="D14" s="291">
        <f>'Invoer gegevens'!F29</f>
        <v>0.7</v>
      </c>
      <c r="E14" s="283"/>
      <c r="F14" s="586"/>
      <c r="G14" s="587"/>
      <c r="H14" s="11"/>
      <c r="I14" s="11"/>
      <c r="J14" s="283"/>
      <c r="K14" s="283"/>
      <c r="L14" s="282"/>
      <c r="M14" s="57"/>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4"/>
      <c r="AV14" s="284"/>
      <c r="AW14" s="284"/>
      <c r="AX14" s="280"/>
      <c r="AY14" s="280"/>
      <c r="AZ14" s="280"/>
      <c r="BA14" s="280"/>
      <c r="BB14" s="280"/>
    </row>
    <row r="15" spans="1:54" s="16" customFormat="1" ht="12.95" customHeight="1" thickTop="1" thickBot="1" x14ac:dyDescent="0.25">
      <c r="B15" s="15"/>
      <c r="C15" s="26" t="s">
        <v>233</v>
      </c>
      <c r="D15" s="291" t="str">
        <f>'Invoer gegevens'!F30</f>
        <v>ja</v>
      </c>
      <c r="E15" s="283"/>
      <c r="F15" s="586"/>
      <c r="G15" s="587"/>
      <c r="H15" s="11"/>
      <c r="I15" s="11"/>
      <c r="J15" s="283"/>
      <c r="K15" s="283"/>
      <c r="L15" s="282"/>
      <c r="M15" s="57"/>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4"/>
      <c r="AV15" s="284"/>
      <c r="AW15" s="284"/>
      <c r="AX15" s="280"/>
      <c r="AY15" s="280"/>
      <c r="AZ15" s="280"/>
      <c r="BA15" s="280"/>
      <c r="BB15" s="280"/>
    </row>
    <row r="16" spans="1:54" s="16" customFormat="1" ht="12.95" customHeight="1" thickTop="1" x14ac:dyDescent="0.2">
      <c r="B16" s="15"/>
      <c r="C16" s="26"/>
      <c r="D16" s="26"/>
      <c r="E16" s="17"/>
      <c r="F16" s="586"/>
      <c r="G16" s="587"/>
      <c r="H16" s="283"/>
      <c r="I16" s="283"/>
      <c r="J16" s="283"/>
      <c r="K16" s="283"/>
      <c r="L16" s="282"/>
      <c r="M16" s="57"/>
      <c r="N16" s="280"/>
      <c r="O16" s="280"/>
      <c r="P16" s="280"/>
      <c r="Q16" s="280"/>
      <c r="R16" s="280"/>
      <c r="S16" s="280"/>
      <c r="T16" s="280"/>
      <c r="U16" s="280"/>
      <c r="V16" s="280"/>
      <c r="W16" s="280"/>
      <c r="X16" s="280"/>
      <c r="Y16" s="280"/>
      <c r="Z16" s="280"/>
      <c r="AA16" s="280"/>
      <c r="AB16" s="280"/>
      <c r="AC16" s="280"/>
      <c r="AD16" s="280"/>
      <c r="AE16" s="280"/>
      <c r="AF16" s="280"/>
      <c r="AG16" s="280"/>
      <c r="AH16" s="280"/>
      <c r="AI16" s="280"/>
      <c r="AJ16" s="280"/>
      <c r="AK16" s="280"/>
      <c r="AL16" s="280"/>
      <c r="AM16" s="280"/>
      <c r="AN16" s="280"/>
      <c r="AO16" s="280"/>
      <c r="AP16" s="280"/>
      <c r="AQ16" s="280"/>
      <c r="AR16" s="280"/>
      <c r="AS16" s="280"/>
      <c r="AT16" s="280"/>
      <c r="AU16" s="284"/>
      <c r="AV16" s="284"/>
      <c r="AW16" s="284"/>
      <c r="AX16" s="280"/>
      <c r="AY16" s="280"/>
      <c r="AZ16" s="280"/>
      <c r="BA16" s="280"/>
      <c r="BB16" s="280"/>
    </row>
    <row r="17" spans="2:60" s="16" customFormat="1" ht="12.95" customHeight="1" x14ac:dyDescent="0.2">
      <c r="B17" s="17"/>
      <c r="C17" s="17"/>
      <c r="D17" s="17"/>
      <c r="E17" s="17"/>
      <c r="F17" s="580"/>
      <c r="G17" s="579"/>
      <c r="H17" s="273"/>
      <c r="I17" s="273"/>
      <c r="J17" s="273"/>
      <c r="K17" s="273"/>
      <c r="L17" s="57"/>
      <c r="M17" s="57"/>
      <c r="N17" s="280"/>
      <c r="O17" s="280"/>
      <c r="P17" s="280"/>
      <c r="Q17" s="280"/>
      <c r="R17" s="280"/>
      <c r="S17" s="280"/>
      <c r="T17" s="280"/>
      <c r="U17" s="280"/>
      <c r="V17" s="280"/>
      <c r="W17" s="280"/>
      <c r="X17" s="280"/>
      <c r="Y17" s="280"/>
      <c r="Z17" s="280"/>
      <c r="AA17" s="280"/>
      <c r="AB17" s="280"/>
      <c r="AC17" s="280"/>
      <c r="AD17" s="280"/>
      <c r="AE17" s="280"/>
      <c r="AF17" s="280"/>
      <c r="AG17" s="280"/>
      <c r="AH17" s="280"/>
      <c r="AI17" s="280"/>
      <c r="AJ17" s="280"/>
      <c r="AK17" s="280"/>
      <c r="AL17" s="280"/>
      <c r="AM17" s="280"/>
      <c r="AN17" s="280"/>
      <c r="AO17" s="280"/>
      <c r="AP17" s="280"/>
      <c r="AQ17" s="280"/>
      <c r="AR17" s="280"/>
      <c r="AS17" s="280"/>
      <c r="AT17" s="280"/>
      <c r="AU17" s="284"/>
      <c r="AV17" s="284"/>
      <c r="AW17" s="284"/>
      <c r="AX17" s="280"/>
      <c r="AY17" s="280"/>
      <c r="AZ17" s="280"/>
      <c r="BA17" s="280"/>
      <c r="BB17" s="280"/>
    </row>
    <row r="18" spans="2:60" s="16" customFormat="1" ht="12.95" customHeight="1" thickBot="1" x14ac:dyDescent="0.25">
      <c r="B18" s="11"/>
      <c r="C18" s="28"/>
      <c r="D18" s="28"/>
      <c r="E18" s="79"/>
      <c r="F18" s="586"/>
      <c r="G18" s="587"/>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2"/>
      <c r="AT18" s="282"/>
      <c r="AU18" s="281"/>
      <c r="AV18" s="281"/>
      <c r="AW18" s="281"/>
      <c r="AX18" s="281"/>
      <c r="AY18" s="281"/>
      <c r="AZ18" s="281"/>
      <c r="BA18" s="281"/>
      <c r="BB18" s="281"/>
      <c r="BC18" s="11"/>
      <c r="BF18" s="32"/>
      <c r="BG18" s="32"/>
      <c r="BH18" s="32"/>
    </row>
    <row r="19" spans="2:60" s="16" customFormat="1" ht="12.95" customHeight="1" thickTop="1" thickBot="1" x14ac:dyDescent="0.25">
      <c r="B19" s="11"/>
      <c r="C19" s="28"/>
      <c r="D19" s="28"/>
      <c r="E19" s="79"/>
      <c r="F19" s="588"/>
      <c r="G19" s="587"/>
      <c r="H19" s="292" t="s">
        <v>108</v>
      </c>
      <c r="I19" s="292"/>
      <c r="J19" s="292"/>
      <c r="K19" s="292"/>
      <c r="L19" s="292"/>
      <c r="M19" s="292"/>
      <c r="N19" s="292"/>
      <c r="O19" s="292"/>
      <c r="P19" s="292"/>
      <c r="Q19" s="292"/>
      <c r="R19" s="292"/>
      <c r="S19" s="283"/>
      <c r="T19" s="292"/>
      <c r="U19" s="292"/>
      <c r="V19" s="292"/>
      <c r="W19" s="292"/>
      <c r="X19" s="292"/>
      <c r="Y19" s="292"/>
      <c r="Z19" s="292"/>
      <c r="AA19" s="292"/>
      <c r="AB19" s="292"/>
      <c r="AC19" s="292"/>
      <c r="AD19" s="292"/>
      <c r="AE19" s="283"/>
      <c r="AF19" s="292" t="s">
        <v>109</v>
      </c>
      <c r="AG19" s="292"/>
      <c r="AH19" s="292"/>
      <c r="AI19" s="292"/>
      <c r="AJ19" s="292"/>
      <c r="AK19" s="292"/>
      <c r="AL19" s="292"/>
      <c r="AM19" s="292"/>
      <c r="AN19" s="292"/>
      <c r="AO19" s="292"/>
      <c r="AP19" s="292"/>
      <c r="AQ19" s="283"/>
      <c r="AR19" s="292"/>
      <c r="AS19" s="292"/>
      <c r="AT19" s="292"/>
      <c r="AU19" s="292"/>
      <c r="AV19" s="292"/>
      <c r="AW19" s="292"/>
      <c r="AX19" s="292"/>
      <c r="AY19" s="292"/>
      <c r="AZ19" s="292"/>
      <c r="BA19" s="292"/>
      <c r="BB19" s="292"/>
      <c r="BC19" s="11"/>
      <c r="BF19" s="32"/>
      <c r="BG19" s="32"/>
      <c r="BH19" s="32"/>
    </row>
    <row r="20" spans="2:60" s="16" customFormat="1" ht="15" customHeight="1" thickTop="1" thickBot="1" x14ac:dyDescent="0.25">
      <c r="B20" s="11"/>
      <c r="C20" s="42"/>
      <c r="D20" s="42"/>
      <c r="E20" s="80"/>
      <c r="F20" s="586"/>
      <c r="G20" s="587"/>
      <c r="H20" s="293" t="s">
        <v>99</v>
      </c>
      <c r="I20" s="293"/>
      <c r="J20" s="293"/>
      <c r="K20" s="293"/>
      <c r="L20" s="293"/>
      <c r="M20" s="293"/>
      <c r="N20" s="293"/>
      <c r="O20" s="293"/>
      <c r="P20" s="293"/>
      <c r="Q20" s="293"/>
      <c r="R20" s="293"/>
      <c r="S20" s="283"/>
      <c r="T20" s="293" t="s">
        <v>100</v>
      </c>
      <c r="U20" s="293"/>
      <c r="V20" s="293"/>
      <c r="W20" s="293"/>
      <c r="X20" s="293"/>
      <c r="Y20" s="293"/>
      <c r="Z20" s="293"/>
      <c r="AA20" s="293"/>
      <c r="AB20" s="293"/>
      <c r="AC20" s="293"/>
      <c r="AD20" s="293"/>
      <c r="AE20" s="283"/>
      <c r="AF20" s="293" t="s">
        <v>99</v>
      </c>
      <c r="AG20" s="293"/>
      <c r="AH20" s="293"/>
      <c r="AI20" s="293"/>
      <c r="AJ20" s="293"/>
      <c r="AK20" s="293"/>
      <c r="AL20" s="293"/>
      <c r="AM20" s="293"/>
      <c r="AN20" s="293"/>
      <c r="AO20" s="293"/>
      <c r="AP20" s="293"/>
      <c r="AQ20" s="283"/>
      <c r="AR20" s="293" t="s">
        <v>100</v>
      </c>
      <c r="AS20" s="293"/>
      <c r="AT20" s="293"/>
      <c r="AU20" s="293"/>
      <c r="AV20" s="293"/>
      <c r="AW20" s="293"/>
      <c r="AX20" s="293"/>
      <c r="AY20" s="293"/>
      <c r="AZ20" s="293"/>
      <c r="BA20" s="293"/>
      <c r="BB20" s="293"/>
      <c r="BC20" s="11"/>
      <c r="BF20" s="32"/>
      <c r="BG20" s="32"/>
      <c r="BH20" s="32"/>
    </row>
    <row r="21" spans="2:60" s="16" customFormat="1" ht="15" customHeight="1" thickTop="1" thickBot="1" x14ac:dyDescent="0.25">
      <c r="B21" s="11"/>
      <c r="C21" s="42"/>
      <c r="D21" s="42"/>
      <c r="E21" s="80"/>
      <c r="F21" s="586"/>
      <c r="G21" s="587"/>
      <c r="H21" s="293">
        <f>'Invoer gegevens'!$E$19</f>
        <v>2025</v>
      </c>
      <c r="I21" s="293">
        <f>IF(H21&lt;&gt;"[leeg]",IF(H21+1&lt;='Invoer gegevens'!$E$20,H21+1,"[leeg]"),"[leeg]")</f>
        <v>2026</v>
      </c>
      <c r="J21" s="293">
        <f>IF(I21&lt;&gt;"[leeg]",IF(I21+1&lt;='Invoer gegevens'!$E$20,I21+1,"[leeg]"),"[leeg]")</f>
        <v>2027</v>
      </c>
      <c r="K21" s="293">
        <f>IF(J21&lt;&gt;"[leeg]",IF(J21+1&lt;='Invoer gegevens'!$E$20,J21+1,"[leeg]"),"[leeg]")</f>
        <v>2028</v>
      </c>
      <c r="L21" s="293">
        <f>IF(K21&lt;&gt;"[leeg]",IF(K21+1&lt;='Invoer gegevens'!$E$20,K21+1,"[leeg]"),"[leeg]")</f>
        <v>2029</v>
      </c>
      <c r="M21" s="293">
        <f>IF(L21&lt;&gt;"[leeg]",IF(L21+1&lt;='Invoer gegevens'!$E$20,L21+1,"[leeg]"),"[leeg]")</f>
        <v>2030</v>
      </c>
      <c r="N21" s="293" t="str">
        <f>IF(M21&lt;&gt;"[leeg]",IF(M21+1&lt;='Invoer gegevens'!$E$20,M21+1,"[leeg]"),"[leeg]")</f>
        <v>[leeg]</v>
      </c>
      <c r="O21" s="293" t="str">
        <f>IF(N21&lt;&gt;"[leeg]",IF(N21+1&lt;='Invoer gegevens'!$E$20,N21+1,"[leeg]"),"[leeg]")</f>
        <v>[leeg]</v>
      </c>
      <c r="P21" s="293" t="str">
        <f>IF(O21&lt;&gt;"[leeg]",IF(O21+1&lt;='Invoer gegevens'!$E$20,O21+1,"[leeg]"),"[leeg]")</f>
        <v>[leeg]</v>
      </c>
      <c r="Q21" s="293" t="str">
        <f>IF(P21&lt;&gt;"[leeg]",IF(P21+1&lt;='Invoer gegevens'!$E$20,P21+1,"[leeg]"),"[leeg]")</f>
        <v>[leeg]</v>
      </c>
      <c r="R21" s="293" t="s">
        <v>166</v>
      </c>
      <c r="S21" s="283"/>
      <c r="T21" s="293">
        <f>H21</f>
        <v>2025</v>
      </c>
      <c r="U21" s="293">
        <f t="shared" ref="U21:Y21" si="0">I21</f>
        <v>2026</v>
      </c>
      <c r="V21" s="293">
        <f t="shared" si="0"/>
        <v>2027</v>
      </c>
      <c r="W21" s="293">
        <f t="shared" si="0"/>
        <v>2028</v>
      </c>
      <c r="X21" s="293">
        <f t="shared" si="0"/>
        <v>2029</v>
      </c>
      <c r="Y21" s="293">
        <f t="shared" si="0"/>
        <v>2030</v>
      </c>
      <c r="Z21" s="293" t="str">
        <f t="shared" ref="Z21" si="1">N21</f>
        <v>[leeg]</v>
      </c>
      <c r="AA21" s="293" t="str">
        <f t="shared" ref="AA21" si="2">O21</f>
        <v>[leeg]</v>
      </c>
      <c r="AB21" s="293" t="str">
        <f t="shared" ref="AB21:AD21" si="3">P21</f>
        <v>[leeg]</v>
      </c>
      <c r="AC21" s="293" t="str">
        <f t="shared" si="3"/>
        <v>[leeg]</v>
      </c>
      <c r="AD21" s="293" t="str">
        <f t="shared" si="3"/>
        <v>Totaal</v>
      </c>
      <c r="AE21" s="283"/>
      <c r="AF21" s="293">
        <f>T21</f>
        <v>2025</v>
      </c>
      <c r="AG21" s="293">
        <f t="shared" ref="AG21:AP21" si="4">U21</f>
        <v>2026</v>
      </c>
      <c r="AH21" s="293">
        <f t="shared" si="4"/>
        <v>2027</v>
      </c>
      <c r="AI21" s="293">
        <f t="shared" si="4"/>
        <v>2028</v>
      </c>
      <c r="AJ21" s="293">
        <f t="shared" si="4"/>
        <v>2029</v>
      </c>
      <c r="AK21" s="293">
        <f t="shared" si="4"/>
        <v>2030</v>
      </c>
      <c r="AL21" s="293" t="str">
        <f t="shared" si="4"/>
        <v>[leeg]</v>
      </c>
      <c r="AM21" s="293" t="str">
        <f t="shared" si="4"/>
        <v>[leeg]</v>
      </c>
      <c r="AN21" s="293" t="str">
        <f t="shared" si="4"/>
        <v>[leeg]</v>
      </c>
      <c r="AO21" s="293" t="str">
        <f t="shared" si="4"/>
        <v>[leeg]</v>
      </c>
      <c r="AP21" s="293" t="str">
        <f t="shared" si="4"/>
        <v>Totaal</v>
      </c>
      <c r="AQ21" s="283"/>
      <c r="AR21" s="293">
        <f>AF21</f>
        <v>2025</v>
      </c>
      <c r="AS21" s="293">
        <f t="shared" ref="AS21:BB21" si="5">AG21</f>
        <v>2026</v>
      </c>
      <c r="AT21" s="293">
        <f t="shared" si="5"/>
        <v>2027</v>
      </c>
      <c r="AU21" s="293">
        <f t="shared" si="5"/>
        <v>2028</v>
      </c>
      <c r="AV21" s="293">
        <f t="shared" si="5"/>
        <v>2029</v>
      </c>
      <c r="AW21" s="293">
        <f t="shared" si="5"/>
        <v>2030</v>
      </c>
      <c r="AX21" s="293" t="str">
        <f t="shared" si="5"/>
        <v>[leeg]</v>
      </c>
      <c r="AY21" s="293" t="str">
        <f t="shared" si="5"/>
        <v>[leeg]</v>
      </c>
      <c r="AZ21" s="293" t="str">
        <f t="shared" si="5"/>
        <v>[leeg]</v>
      </c>
      <c r="BA21" s="293" t="str">
        <f t="shared" si="5"/>
        <v>[leeg]</v>
      </c>
      <c r="BB21" s="293" t="str">
        <f t="shared" si="5"/>
        <v>Totaal</v>
      </c>
      <c r="BC21" s="11"/>
      <c r="BF21" s="32"/>
      <c r="BG21" s="32"/>
      <c r="BH21" s="32"/>
    </row>
    <row r="22" spans="2:60" s="16" customFormat="1" ht="15" customHeight="1" thickTop="1" thickBot="1" x14ac:dyDescent="0.25">
      <c r="B22" s="11"/>
      <c r="C22" s="47" t="s">
        <v>352</v>
      </c>
      <c r="D22" s="47"/>
      <c r="E22" s="80"/>
      <c r="F22" s="586"/>
      <c r="G22" s="587"/>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3"/>
      <c r="AZ22" s="283"/>
      <c r="BA22" s="283"/>
      <c r="BB22" s="283"/>
      <c r="BC22" s="11"/>
      <c r="BF22" s="32"/>
      <c r="BG22" s="32"/>
      <c r="BH22" s="32"/>
    </row>
    <row r="23" spans="2:60" s="16" customFormat="1" ht="12.95" customHeight="1" thickTop="1" thickBot="1" x14ac:dyDescent="0.25">
      <c r="B23" s="11"/>
      <c r="C23" s="26" t="s">
        <v>3</v>
      </c>
      <c r="D23" s="26"/>
      <c r="E23" s="17"/>
      <c r="F23" s="586"/>
      <c r="G23" s="587"/>
      <c r="H23" s="424" t="str">
        <f>'Invoer gegevens'!$E$23</f>
        <v>D11</v>
      </c>
      <c r="I23" s="424" t="str">
        <f>IF(I21&lt;&gt;"[leeg]",'Invoer gegevens'!$E$23,"[leeg]")</f>
        <v>D11</v>
      </c>
      <c r="J23" s="424" t="str">
        <f>IF(J21&lt;&gt;"[leeg]",'Invoer gegevens'!$E$23,"[leeg]")</f>
        <v>D11</v>
      </c>
      <c r="K23" s="424" t="str">
        <f>IF(K21&lt;&gt;"[leeg]",'Invoer gegevens'!$E$23,"[leeg]")</f>
        <v>D11</v>
      </c>
      <c r="L23" s="424" t="str">
        <f>IF(L21&lt;&gt;"[leeg]",'Invoer gegevens'!$E$23,"[leeg]")</f>
        <v>D11</v>
      </c>
      <c r="M23" s="424" t="str">
        <f>IF(M21&lt;&gt;"[leeg]",'Invoer gegevens'!$E$23,"[leeg]")</f>
        <v>D11</v>
      </c>
      <c r="N23" s="424" t="str">
        <f>IF(N21&lt;&gt;"[leeg]",'Invoer gegevens'!$E$23,"[leeg]")</f>
        <v>[leeg]</v>
      </c>
      <c r="O23" s="424" t="str">
        <f>IF(O21&lt;&gt;"[leeg]",'Invoer gegevens'!$E$23,"[leeg]")</f>
        <v>[leeg]</v>
      </c>
      <c r="P23" s="424" t="str">
        <f>IF(P21&lt;&gt;"[leeg]",'Invoer gegevens'!$E$23,"[leeg]")</f>
        <v>[leeg]</v>
      </c>
      <c r="Q23" s="424" t="str">
        <f>IF(Q21&lt;&gt;"[leeg]",'Invoer gegevens'!$E$23,"[leeg]")</f>
        <v>[leeg]</v>
      </c>
      <c r="R23" s="283"/>
      <c r="S23" s="283"/>
      <c r="T23" s="294" t="str">
        <f>'Invoer gegevens'!$F$23</f>
        <v>LB</v>
      </c>
      <c r="U23" s="294" t="str">
        <f>IF(U$21&lt;&gt;"[leeg]",'Invoer gegevens'!$F$23,"[leeg]")</f>
        <v>LB</v>
      </c>
      <c r="V23" s="294" t="str">
        <f>IF(V21&lt;&gt;"[leeg]",'Invoer gegevens'!$F$23,"[leeg]")</f>
        <v>LB</v>
      </c>
      <c r="W23" s="294" t="str">
        <f>IF(W21&lt;&gt;"[leeg]",'Invoer gegevens'!$F$23,"[leeg]")</f>
        <v>LB</v>
      </c>
      <c r="X23" s="294" t="str">
        <f>IF(X21&lt;&gt;"[leeg]",'Invoer gegevens'!$F$23,"[leeg]")</f>
        <v>LB</v>
      </c>
      <c r="Y23" s="294" t="str">
        <f>IF(Y21&lt;&gt;"[leeg]",'Invoer gegevens'!$F$23,"[leeg]")</f>
        <v>LB</v>
      </c>
      <c r="Z23" s="294" t="str">
        <f>IF(Z21&lt;&gt;"[leeg]",'Invoer gegevens'!$F$23,"[leeg]")</f>
        <v>[leeg]</v>
      </c>
      <c r="AA23" s="294" t="str">
        <f>IF(AA21&lt;&gt;"[leeg]",'Invoer gegevens'!$F$23,"[leeg]")</f>
        <v>[leeg]</v>
      </c>
      <c r="AB23" s="294" t="str">
        <f>IF(AB21&lt;&gt;"[leeg]",'Invoer gegevens'!$F$23,"[leeg]")</f>
        <v>[leeg]</v>
      </c>
      <c r="AC23" s="294" t="str">
        <f>IF(AC21&lt;&gt;"[leeg]",'Invoer gegevens'!$F$23,"[leeg]")</f>
        <v>[leeg]</v>
      </c>
      <c r="AD23" s="283"/>
      <c r="AE23" s="283"/>
      <c r="AF23" s="295">
        <f>IF(AND(H23&gt;0,H23&lt;17),100,0)</f>
        <v>0</v>
      </c>
      <c r="AG23" s="295"/>
      <c r="AH23" s="295"/>
      <c r="AI23" s="295"/>
      <c r="AJ23" s="295"/>
      <c r="AK23" s="295"/>
      <c r="AL23" s="295"/>
      <c r="AM23" s="295"/>
      <c r="AN23" s="295"/>
      <c r="AO23" s="295"/>
      <c r="AP23" s="295"/>
      <c r="AQ23" s="283"/>
      <c r="AR23" s="295">
        <f>IF(AND(T23&gt;0,T23&lt;17),100,0)</f>
        <v>0</v>
      </c>
      <c r="AS23" s="295">
        <f t="shared" ref="AS23:BB23" si="6">IF(AND(U23&gt;0,U23&lt;17),100,0)</f>
        <v>0</v>
      </c>
      <c r="AT23" s="295">
        <f t="shared" si="6"/>
        <v>0</v>
      </c>
      <c r="AU23" s="295">
        <f t="shared" si="6"/>
        <v>0</v>
      </c>
      <c r="AV23" s="295">
        <f t="shared" si="6"/>
        <v>0</v>
      </c>
      <c r="AW23" s="295">
        <f t="shared" si="6"/>
        <v>0</v>
      </c>
      <c r="AX23" s="295">
        <f t="shared" si="6"/>
        <v>0</v>
      </c>
      <c r="AY23" s="295">
        <f t="shared" si="6"/>
        <v>0</v>
      </c>
      <c r="AZ23" s="295">
        <f t="shared" si="6"/>
        <v>0</v>
      </c>
      <c r="BA23" s="295">
        <f t="shared" si="6"/>
        <v>0</v>
      </c>
      <c r="BB23" s="295">
        <f t="shared" si="6"/>
        <v>0</v>
      </c>
      <c r="BC23" s="11"/>
      <c r="BF23" s="32"/>
      <c r="BG23" s="32"/>
      <c r="BH23" s="32"/>
    </row>
    <row r="24" spans="2:60" s="16" customFormat="1" ht="12.95" customHeight="1" thickTop="1" thickBot="1" x14ac:dyDescent="0.25">
      <c r="B24" s="11"/>
      <c r="C24" s="26" t="s">
        <v>4</v>
      </c>
      <c r="D24" s="26"/>
      <c r="E24" s="17"/>
      <c r="F24" s="586"/>
      <c r="G24" s="587"/>
      <c r="H24" s="296">
        <f>'Invoer gegevens'!$E$24</f>
        <v>12</v>
      </c>
      <c r="I24" s="297">
        <f>IF(I21&lt;&gt;"[leeg]",MIN(H24+1,VLOOKUP(I23,Saltab2023,22,FALSE)),"[leeg]")</f>
        <v>12</v>
      </c>
      <c r="J24" s="297">
        <f t="shared" ref="J24:Q24" si="7">IF(J21&lt;&gt;"[leeg]",MIN(I24+1,VLOOKUP(J23,Saltab2023,22,FALSE)),"[leeg]")</f>
        <v>12</v>
      </c>
      <c r="K24" s="297">
        <f t="shared" si="7"/>
        <v>12</v>
      </c>
      <c r="L24" s="297">
        <f t="shared" si="7"/>
        <v>12</v>
      </c>
      <c r="M24" s="297">
        <f t="shared" si="7"/>
        <v>12</v>
      </c>
      <c r="N24" s="297" t="str">
        <f t="shared" si="7"/>
        <v>[leeg]</v>
      </c>
      <c r="O24" s="297" t="str">
        <f t="shared" si="7"/>
        <v>[leeg]</v>
      </c>
      <c r="P24" s="297" t="str">
        <f t="shared" si="7"/>
        <v>[leeg]</v>
      </c>
      <c r="Q24" s="297" t="str">
        <f t="shared" si="7"/>
        <v>[leeg]</v>
      </c>
      <c r="R24" s="283"/>
      <c r="S24" s="283"/>
      <c r="T24" s="296">
        <f>'Invoer gegevens'!$F$24</f>
        <v>11</v>
      </c>
      <c r="U24" s="297">
        <f t="shared" ref="U24:AC24" si="8">IF(U21&lt;&gt;"[leeg]",MIN(T24+1,VLOOKUP(U23,Saltab2023,22,FALSE)),"[leeg]")</f>
        <v>12</v>
      </c>
      <c r="V24" s="297">
        <f t="shared" si="8"/>
        <v>12</v>
      </c>
      <c r="W24" s="297">
        <f t="shared" si="8"/>
        <v>12</v>
      </c>
      <c r="X24" s="297">
        <f t="shared" si="8"/>
        <v>12</v>
      </c>
      <c r="Y24" s="297">
        <f t="shared" si="8"/>
        <v>12</v>
      </c>
      <c r="Z24" s="297" t="str">
        <f t="shared" si="8"/>
        <v>[leeg]</v>
      </c>
      <c r="AA24" s="297" t="str">
        <f t="shared" si="8"/>
        <v>[leeg]</v>
      </c>
      <c r="AB24" s="297" t="str">
        <f t="shared" si="8"/>
        <v>[leeg]</v>
      </c>
      <c r="AC24" s="297" t="str">
        <f t="shared" si="8"/>
        <v>[leeg]</v>
      </c>
      <c r="AD24" s="283"/>
      <c r="AE24" s="283"/>
      <c r="AF24" s="298"/>
      <c r="AG24" s="298"/>
      <c r="AH24" s="298"/>
      <c r="AI24" s="298"/>
      <c r="AJ24" s="298"/>
      <c r="AK24" s="298"/>
      <c r="AL24" s="298"/>
      <c r="AM24" s="298"/>
      <c r="AN24" s="298"/>
      <c r="AO24" s="298"/>
      <c r="AP24" s="298"/>
      <c r="AQ24" s="283"/>
      <c r="AR24" s="298"/>
      <c r="AS24" s="298"/>
      <c r="AT24" s="298"/>
      <c r="AU24" s="298"/>
      <c r="AV24" s="298"/>
      <c r="AW24" s="298"/>
      <c r="AX24" s="298"/>
      <c r="AY24" s="298"/>
      <c r="AZ24" s="298"/>
      <c r="BA24" s="298"/>
      <c r="BB24" s="298"/>
      <c r="BC24" s="11"/>
      <c r="BF24" s="32"/>
      <c r="BG24" s="32"/>
      <c r="BH24" s="32"/>
    </row>
    <row r="25" spans="2:60" s="16" customFormat="1" ht="12.95" customHeight="1" thickTop="1" thickBot="1" x14ac:dyDescent="0.25">
      <c r="B25" s="11"/>
      <c r="C25" s="26" t="s">
        <v>6</v>
      </c>
      <c r="D25" s="26"/>
      <c r="E25" s="17"/>
      <c r="F25" s="586"/>
      <c r="G25" s="587"/>
      <c r="H25" s="299">
        <f>VLOOKUP(H23,Saltab2023,H24+5,FALSE)</f>
        <v>6149</v>
      </c>
      <c r="I25" s="299">
        <f t="shared" ref="I25:Q25" si="9">IF(I21&lt;&gt;"[leeg]",VLOOKUP(I23,Saltab2023,I24+5,FALSE),0)</f>
        <v>6149</v>
      </c>
      <c r="J25" s="299">
        <f t="shared" si="9"/>
        <v>6149</v>
      </c>
      <c r="K25" s="299">
        <f t="shared" si="9"/>
        <v>6149</v>
      </c>
      <c r="L25" s="299">
        <f t="shared" si="9"/>
        <v>6149</v>
      </c>
      <c r="M25" s="299">
        <f t="shared" si="9"/>
        <v>6149</v>
      </c>
      <c r="N25" s="299">
        <f t="shared" si="9"/>
        <v>0</v>
      </c>
      <c r="O25" s="299">
        <f t="shared" si="9"/>
        <v>0</v>
      </c>
      <c r="P25" s="299">
        <f t="shared" si="9"/>
        <v>0</v>
      </c>
      <c r="Q25" s="299">
        <f t="shared" si="9"/>
        <v>0</v>
      </c>
      <c r="R25" s="283"/>
      <c r="S25" s="283"/>
      <c r="T25" s="299">
        <f>VLOOKUP(T23,Saltab2023,T24+5,FALSE)</f>
        <v>5004</v>
      </c>
      <c r="U25" s="299">
        <f t="shared" ref="U25:AC25" si="10">IF(U21&lt;&gt;"[leeg]",VLOOKUP(U23,Saltab2023,U24+5,FALSE),0)</f>
        <v>5277</v>
      </c>
      <c r="V25" s="299">
        <f t="shared" si="10"/>
        <v>5277</v>
      </c>
      <c r="W25" s="299">
        <f t="shared" si="10"/>
        <v>5277</v>
      </c>
      <c r="X25" s="299">
        <f t="shared" si="10"/>
        <v>5277</v>
      </c>
      <c r="Y25" s="299">
        <f t="shared" si="10"/>
        <v>5277</v>
      </c>
      <c r="Z25" s="299">
        <f t="shared" si="10"/>
        <v>0</v>
      </c>
      <c r="AA25" s="299">
        <f t="shared" si="10"/>
        <v>0</v>
      </c>
      <c r="AB25" s="299">
        <f t="shared" si="10"/>
        <v>0</v>
      </c>
      <c r="AC25" s="299">
        <f t="shared" si="10"/>
        <v>0</v>
      </c>
      <c r="AD25" s="283"/>
      <c r="AE25" s="283"/>
      <c r="AF25" s="300"/>
      <c r="AG25" s="300"/>
      <c r="AH25" s="300"/>
      <c r="AI25" s="300"/>
      <c r="AJ25" s="300"/>
      <c r="AK25" s="300"/>
      <c r="AL25" s="300"/>
      <c r="AM25" s="300"/>
      <c r="AN25" s="300"/>
      <c r="AO25" s="300"/>
      <c r="AP25" s="300"/>
      <c r="AQ25" s="283"/>
      <c r="AR25" s="300"/>
      <c r="AS25" s="300"/>
      <c r="AT25" s="300"/>
      <c r="AU25" s="300"/>
      <c r="AV25" s="300"/>
      <c r="AW25" s="300"/>
      <c r="AX25" s="300"/>
      <c r="AY25" s="300"/>
      <c r="AZ25" s="300"/>
      <c r="BA25" s="300"/>
      <c r="BB25" s="300"/>
      <c r="BC25" s="11"/>
      <c r="BF25" s="32"/>
      <c r="BG25" s="32"/>
      <c r="BH25" s="32"/>
    </row>
    <row r="26" spans="2:60" s="16" customFormat="1" ht="12.75" customHeight="1" thickTop="1" thickBot="1" x14ac:dyDescent="0.25">
      <c r="B26" s="11"/>
      <c r="C26" s="26" t="s">
        <v>84</v>
      </c>
      <c r="D26" s="26"/>
      <c r="E26" s="17"/>
      <c r="F26" s="586"/>
      <c r="G26" s="587"/>
      <c r="H26" s="301">
        <f>'Invoer gegevens'!$E$26</f>
        <v>1</v>
      </c>
      <c r="I26" s="301">
        <f>IF(I21&lt;&gt;"[leeg]",'Invoer gegevens'!$E$26,0)</f>
        <v>1</v>
      </c>
      <c r="J26" s="301">
        <f>IF(J21&lt;&gt;"[leeg]",'Invoer gegevens'!$E$26,0)</f>
        <v>1</v>
      </c>
      <c r="K26" s="301">
        <f>IF(K21&lt;&gt;"[leeg]",'Invoer gegevens'!$E$26,0)</f>
        <v>1</v>
      </c>
      <c r="L26" s="301">
        <f>IF(L21&lt;&gt;"[leeg]",'Invoer gegevens'!$E$26,0)</f>
        <v>1</v>
      </c>
      <c r="M26" s="301">
        <f>IF(M21&lt;&gt;"[leeg]",'Invoer gegevens'!$E$26,0)</f>
        <v>1</v>
      </c>
      <c r="N26" s="301">
        <f>IF(N21&lt;&gt;"[leeg]",'Invoer gegevens'!$E$26,0)</f>
        <v>0</v>
      </c>
      <c r="O26" s="301">
        <f>IF(O21&lt;&gt;"[leeg]",'Invoer gegevens'!$E$26,0)</f>
        <v>0</v>
      </c>
      <c r="P26" s="301">
        <f>IF(P21&lt;&gt;"[leeg]",'Invoer gegevens'!$E$26,0)</f>
        <v>0</v>
      </c>
      <c r="Q26" s="301">
        <f>IF(Q21&lt;&gt;"[leeg]",'Invoer gegevens'!$E$26,0)</f>
        <v>0</v>
      </c>
      <c r="R26" s="283"/>
      <c r="S26" s="283"/>
      <c r="T26" s="301">
        <f>'Invoer gegevens'!$F$26</f>
        <v>0.5</v>
      </c>
      <c r="U26" s="301">
        <f>IF(U$21&lt;&gt;"[leeg]",'Invoer gegevens'!$F$26,0)</f>
        <v>0.5</v>
      </c>
      <c r="V26" s="301">
        <f>IF(V21&lt;&gt;"[leeg]",'Invoer gegevens'!$F$26,0)</f>
        <v>0.5</v>
      </c>
      <c r="W26" s="301">
        <f>IF(W21&lt;&gt;"[leeg]",'Invoer gegevens'!$F$26,0)</f>
        <v>0.5</v>
      </c>
      <c r="X26" s="301">
        <f>IF(X21&lt;&gt;"[leeg]",'Invoer gegevens'!$F$26,0)</f>
        <v>0.5</v>
      </c>
      <c r="Y26" s="301">
        <f>IF(Y21&lt;&gt;"[leeg]",'Invoer gegevens'!$F$26,0)</f>
        <v>0.5</v>
      </c>
      <c r="Z26" s="301">
        <f>IF(Z21&lt;&gt;"[leeg]",'Invoer gegevens'!$F$26,0)</f>
        <v>0</v>
      </c>
      <c r="AA26" s="301">
        <f>IF(AA21&lt;&gt;"[leeg]",'Invoer gegevens'!$F$26,0)</f>
        <v>0</v>
      </c>
      <c r="AB26" s="301">
        <f>IF(AB21&lt;&gt;"[leeg]",'Invoer gegevens'!$F$26,0)</f>
        <v>0</v>
      </c>
      <c r="AC26" s="301">
        <f>IF(AC21&lt;&gt;"[leeg]",'Invoer gegevens'!$F$26,0)</f>
        <v>0</v>
      </c>
      <c r="AD26" s="283"/>
      <c r="AE26" s="283"/>
      <c r="AF26" s="283"/>
      <c r="AG26" s="283"/>
      <c r="AH26" s="283"/>
      <c r="AI26" s="283"/>
      <c r="AJ26" s="283"/>
      <c r="AK26" s="283"/>
      <c r="AL26" s="283"/>
      <c r="AM26" s="283"/>
      <c r="AN26" s="283"/>
      <c r="AO26" s="283"/>
      <c r="AP26" s="283"/>
      <c r="AQ26" s="283"/>
      <c r="AR26" s="283"/>
      <c r="AS26" s="283"/>
      <c r="AT26" s="283"/>
      <c r="AU26" s="283"/>
      <c r="AV26" s="283"/>
      <c r="AW26" s="283"/>
      <c r="AX26" s="283"/>
      <c r="AY26" s="283"/>
      <c r="AZ26" s="283"/>
      <c r="BA26" s="283"/>
      <c r="BB26" s="283"/>
      <c r="BC26" s="11"/>
      <c r="BF26" s="32"/>
      <c r="BG26" s="32"/>
      <c r="BH26" s="32"/>
    </row>
    <row r="27" spans="2:60" s="578" customFormat="1" ht="12.95" customHeight="1" thickTop="1" x14ac:dyDescent="0.2">
      <c r="C27" s="579" t="s">
        <v>368</v>
      </c>
      <c r="D27" s="579"/>
      <c r="E27" s="579"/>
      <c r="F27" s="580"/>
      <c r="G27" s="579"/>
      <c r="H27" s="581">
        <f>Hulptabellen!R24</f>
        <v>1</v>
      </c>
      <c r="I27" s="581">
        <f>IF(I21&lt;&gt;"[leeg]",IF(J21="[leeg]",Hulptabellen!$R$25,1),0)</f>
        <v>1</v>
      </c>
      <c r="J27" s="581">
        <f>IF(J21&lt;&gt;"[leeg]",IF(K21="[leeg]",Hulptabellen!$R$25,1),0)</f>
        <v>1</v>
      </c>
      <c r="K27" s="581">
        <f>IF(K21&lt;&gt;"[leeg]",IF(L21="[leeg]",Hulptabellen!$R$25,1),0)</f>
        <v>1</v>
      </c>
      <c r="L27" s="581">
        <f>IF(L21&lt;&gt;"[leeg]",IF(M21="[leeg]",Hulptabellen!$R$25,1),0)</f>
        <v>1</v>
      </c>
      <c r="M27" s="581">
        <f>IF(M21&lt;&gt;"[leeg]",IF(N21="[leeg]",Hulptabellen!$R$25,1),0)</f>
        <v>0.16164383561643836</v>
      </c>
      <c r="N27" s="581">
        <f>IF(N21&lt;&gt;"[leeg]",IF(O21="[leeg]",Hulptabellen!$R$25,1),0)</f>
        <v>0</v>
      </c>
      <c r="O27" s="581">
        <f>IF(O21&lt;&gt;"[leeg]",IF(P21="[leeg]",Hulptabellen!$R$25,1),0)</f>
        <v>0</v>
      </c>
      <c r="P27" s="581">
        <f>IF(P21&lt;&gt;"[leeg]",IF(Q21="[leeg]",Hulptabellen!$R$25,1),0)</f>
        <v>0</v>
      </c>
      <c r="Q27" s="581">
        <f>IF(Q21&lt;&gt;"[leeg]",IF(R21="[leeg]",Hulptabellen!$R$25,1),0)</f>
        <v>0</v>
      </c>
      <c r="R27" s="581"/>
      <c r="S27" s="581"/>
      <c r="T27" s="581">
        <f>H27</f>
        <v>1</v>
      </c>
      <c r="U27" s="581">
        <f t="shared" ref="U27:AC27" si="11">I27</f>
        <v>1</v>
      </c>
      <c r="V27" s="581">
        <f t="shared" si="11"/>
        <v>1</v>
      </c>
      <c r="W27" s="581">
        <f t="shared" si="11"/>
        <v>1</v>
      </c>
      <c r="X27" s="581">
        <f t="shared" si="11"/>
        <v>1</v>
      </c>
      <c r="Y27" s="581">
        <f t="shared" si="11"/>
        <v>0.16164383561643836</v>
      </c>
      <c r="Z27" s="581">
        <f t="shared" si="11"/>
        <v>0</v>
      </c>
      <c r="AA27" s="581">
        <f t="shared" si="11"/>
        <v>0</v>
      </c>
      <c r="AB27" s="581">
        <f t="shared" si="11"/>
        <v>0</v>
      </c>
      <c r="AC27" s="581">
        <f t="shared" si="11"/>
        <v>0</v>
      </c>
      <c r="AD27" s="581"/>
      <c r="AE27" s="581"/>
      <c r="AF27" s="581">
        <f>T27</f>
        <v>1</v>
      </c>
      <c r="AG27" s="581">
        <f t="shared" ref="AG27:AP27" si="12">U27</f>
        <v>1</v>
      </c>
      <c r="AH27" s="581">
        <f t="shared" si="12"/>
        <v>1</v>
      </c>
      <c r="AI27" s="581">
        <f t="shared" si="12"/>
        <v>1</v>
      </c>
      <c r="AJ27" s="581">
        <f t="shared" si="12"/>
        <v>1</v>
      </c>
      <c r="AK27" s="581">
        <f t="shared" si="12"/>
        <v>0.16164383561643836</v>
      </c>
      <c r="AL27" s="581">
        <f t="shared" si="12"/>
        <v>0</v>
      </c>
      <c r="AM27" s="581">
        <f t="shared" si="12"/>
        <v>0</v>
      </c>
      <c r="AN27" s="581">
        <f t="shared" si="12"/>
        <v>0</v>
      </c>
      <c r="AO27" s="581">
        <f t="shared" si="12"/>
        <v>0</v>
      </c>
      <c r="AP27" s="581">
        <f t="shared" si="12"/>
        <v>0</v>
      </c>
      <c r="AQ27" s="581"/>
      <c r="AR27" s="581">
        <f>AF27</f>
        <v>1</v>
      </c>
      <c r="AS27" s="581">
        <f t="shared" ref="AS27:BA27" si="13">AG27</f>
        <v>1</v>
      </c>
      <c r="AT27" s="581">
        <f t="shared" si="13"/>
        <v>1</v>
      </c>
      <c r="AU27" s="581">
        <f t="shared" si="13"/>
        <v>1</v>
      </c>
      <c r="AV27" s="581">
        <f t="shared" si="13"/>
        <v>1</v>
      </c>
      <c r="AW27" s="581">
        <f t="shared" si="13"/>
        <v>0.16164383561643836</v>
      </c>
      <c r="AX27" s="581">
        <f t="shared" si="13"/>
        <v>0</v>
      </c>
      <c r="AY27" s="581">
        <f t="shared" si="13"/>
        <v>0</v>
      </c>
      <c r="AZ27" s="581">
        <f t="shared" si="13"/>
        <v>0</v>
      </c>
      <c r="BA27" s="581">
        <f t="shared" si="13"/>
        <v>0</v>
      </c>
      <c r="BB27" s="582"/>
    </row>
    <row r="28" spans="2:60" s="16" customFormat="1" ht="12.95" customHeight="1" thickBot="1" x14ac:dyDescent="0.25">
      <c r="C28" s="17" t="s">
        <v>353</v>
      </c>
      <c r="D28" s="17"/>
      <c r="E28" s="17"/>
      <c r="F28" s="580"/>
      <c r="G28" s="579"/>
      <c r="H28" s="485"/>
      <c r="I28" s="485"/>
      <c r="J28" s="485"/>
      <c r="K28" s="485"/>
      <c r="L28" s="485"/>
      <c r="M28" s="485"/>
      <c r="N28" s="485"/>
      <c r="O28" s="485"/>
      <c r="P28" s="485"/>
      <c r="Q28" s="485"/>
      <c r="R28" s="485"/>
      <c r="S28" s="273"/>
      <c r="T28" s="485"/>
      <c r="U28" s="485"/>
      <c r="V28" s="485"/>
      <c r="W28" s="485"/>
      <c r="X28" s="485"/>
      <c r="Y28" s="485"/>
      <c r="Z28" s="485"/>
      <c r="AA28" s="485"/>
      <c r="AB28" s="485"/>
      <c r="AC28" s="485"/>
      <c r="AD28" s="485"/>
      <c r="AE28" s="273"/>
      <c r="AF28" s="485"/>
      <c r="AG28" s="485"/>
      <c r="AH28" s="485"/>
      <c r="AI28" s="485"/>
      <c r="AJ28" s="485"/>
      <c r="AK28" s="485"/>
      <c r="AL28" s="485"/>
      <c r="AM28" s="485"/>
      <c r="AN28" s="485"/>
      <c r="AO28" s="485"/>
      <c r="AP28" s="485"/>
      <c r="AQ28" s="273"/>
      <c r="AR28" s="485"/>
      <c r="AS28" s="485"/>
      <c r="AT28" s="485"/>
      <c r="AU28" s="485"/>
      <c r="AV28" s="485"/>
      <c r="AW28" s="485"/>
      <c r="AX28" s="485"/>
      <c r="AY28" s="485"/>
      <c r="AZ28" s="485"/>
      <c r="BA28" s="485"/>
      <c r="BB28" s="273"/>
    </row>
    <row r="29" spans="2:60" s="16" customFormat="1" ht="12.95" customHeight="1" collapsed="1" thickTop="1" thickBot="1" x14ac:dyDescent="0.25">
      <c r="B29" s="11"/>
      <c r="C29" s="471" t="s">
        <v>117</v>
      </c>
      <c r="D29" s="28"/>
      <c r="E29" s="79"/>
      <c r="F29" s="586"/>
      <c r="G29" s="587"/>
      <c r="H29" s="304">
        <f>H25*H26</f>
        <v>6149</v>
      </c>
      <c r="I29" s="304">
        <f>IF(I21&lt;&gt;"[leeg]",I25*I26,0)</f>
        <v>6149</v>
      </c>
      <c r="J29" s="304">
        <f t="shared" ref="J29:Q29" si="14">IF(J21&lt;&gt;"[leeg]",J25*J26,0)</f>
        <v>6149</v>
      </c>
      <c r="K29" s="304">
        <f t="shared" si="14"/>
        <v>6149</v>
      </c>
      <c r="L29" s="304">
        <f t="shared" si="14"/>
        <v>6149</v>
      </c>
      <c r="M29" s="304">
        <f t="shared" si="14"/>
        <v>6149</v>
      </c>
      <c r="N29" s="304">
        <f t="shared" si="14"/>
        <v>0</v>
      </c>
      <c r="O29" s="304">
        <f t="shared" si="14"/>
        <v>0</v>
      </c>
      <c r="P29" s="304">
        <f t="shared" si="14"/>
        <v>0</v>
      </c>
      <c r="Q29" s="304">
        <f t="shared" si="14"/>
        <v>0</v>
      </c>
      <c r="R29" s="304">
        <f>H29*H$27+I29*I$27+J29*J$27+K29*K$27+L29*L$27+M29*M$27+N29*N$27+O29*O$27+P29*P$27+Q29*Q$27</f>
        <v>31738.94794520548</v>
      </c>
      <c r="S29" s="283"/>
      <c r="T29" s="304">
        <f>$D$14*T25</f>
        <v>3502.7999999999997</v>
      </c>
      <c r="U29" s="304">
        <f>IF(U21&lt;&gt;"[leeg]",$D$14*U25,0)</f>
        <v>3693.8999999999996</v>
      </c>
      <c r="V29" s="304">
        <f t="shared" ref="V29:AC29" si="15">IF(V21&lt;&gt;"[leeg]",$D$14*V25,0)</f>
        <v>3693.8999999999996</v>
      </c>
      <c r="W29" s="304">
        <f t="shared" si="15"/>
        <v>3693.8999999999996</v>
      </c>
      <c r="X29" s="304">
        <f t="shared" si="15"/>
        <v>3693.8999999999996</v>
      </c>
      <c r="Y29" s="304">
        <f t="shared" si="15"/>
        <v>3693.8999999999996</v>
      </c>
      <c r="Z29" s="304">
        <f t="shared" si="15"/>
        <v>0</v>
      </c>
      <c r="AA29" s="304">
        <f t="shared" si="15"/>
        <v>0</v>
      </c>
      <c r="AB29" s="304">
        <f t="shared" si="15"/>
        <v>0</v>
      </c>
      <c r="AC29" s="304">
        <f t="shared" si="15"/>
        <v>0</v>
      </c>
      <c r="AD29" s="304">
        <f t="shared" ref="AD29:AD38" si="16">T29*T$27+U29*U$27+V29*V$27+W29*W$27+X29*X$27+Y29*Y$27+Z29*Z$27+AA29*AA$27+AB29*AB$27+AC29*AC$27</f>
        <v>18875.49616438356</v>
      </c>
      <c r="AE29" s="283"/>
      <c r="AF29" s="304">
        <f>H29*12</f>
        <v>73788</v>
      </c>
      <c r="AG29" s="304">
        <f t="shared" ref="AG29:AO29" si="17">I29*12</f>
        <v>73788</v>
      </c>
      <c r="AH29" s="304">
        <f t="shared" si="17"/>
        <v>73788</v>
      </c>
      <c r="AI29" s="304">
        <f t="shared" si="17"/>
        <v>73788</v>
      </c>
      <c r="AJ29" s="304">
        <f t="shared" si="17"/>
        <v>73788</v>
      </c>
      <c r="AK29" s="304">
        <f t="shared" si="17"/>
        <v>73788</v>
      </c>
      <c r="AL29" s="304">
        <f t="shared" si="17"/>
        <v>0</v>
      </c>
      <c r="AM29" s="304">
        <f t="shared" si="17"/>
        <v>0</v>
      </c>
      <c r="AN29" s="304">
        <f t="shared" si="17"/>
        <v>0</v>
      </c>
      <c r="AO29" s="304">
        <f t="shared" si="17"/>
        <v>0</v>
      </c>
      <c r="AP29" s="304">
        <f t="shared" ref="AP29:AP38" si="18">AF29*AF$27+AG29*AG$27+AH29*AH$27+AI29*AI$27+AJ29*AJ$27+AK29*AK$27+AL29*AL$27+AM29*AM$27+AN29*AN$27+AO29*AO$27</f>
        <v>380867.37534246576</v>
      </c>
      <c r="AQ29" s="283"/>
      <c r="AR29" s="304">
        <f>T29*12</f>
        <v>42033.599999999999</v>
      </c>
      <c r="AS29" s="304">
        <f>U29*12</f>
        <v>44326.799999999996</v>
      </c>
      <c r="AT29" s="304">
        <f t="shared" ref="AT29:BA35" si="19">IF(AT$21&lt;&gt;"[leeg]",V29*12,0)</f>
        <v>44326.799999999996</v>
      </c>
      <c r="AU29" s="304">
        <f t="shared" si="19"/>
        <v>44326.799999999996</v>
      </c>
      <c r="AV29" s="304">
        <f t="shared" si="19"/>
        <v>44326.799999999996</v>
      </c>
      <c r="AW29" s="304">
        <f t="shared" si="19"/>
        <v>44326.799999999996</v>
      </c>
      <c r="AX29" s="304">
        <f t="shared" si="19"/>
        <v>0</v>
      </c>
      <c r="AY29" s="304">
        <f t="shared" si="19"/>
        <v>0</v>
      </c>
      <c r="AZ29" s="304">
        <f t="shared" si="19"/>
        <v>0</v>
      </c>
      <c r="BA29" s="304">
        <f t="shared" si="19"/>
        <v>0</v>
      </c>
      <c r="BB29" s="304">
        <f t="shared" ref="BB29:BB38" si="20">AR29*AR$27+AS29*AS$27+AT29*AT$27+AU29*AU$27+AV29*AV$27+AW29*AW$27+AX29*AX$27+AY29*AY$27+AZ29*AZ$27+BA29*BA$27</f>
        <v>226505.9539726027</v>
      </c>
      <c r="BC29" s="11"/>
      <c r="BF29" s="32"/>
      <c r="BG29" s="32"/>
      <c r="BH29" s="32"/>
    </row>
    <row r="30" spans="2:60" s="16" customFormat="1" ht="12.95" customHeight="1" thickTop="1" thickBot="1" x14ac:dyDescent="0.25">
      <c r="B30" s="11"/>
      <c r="C30" s="26" t="s">
        <v>8</v>
      </c>
      <c r="D30" s="26"/>
      <c r="E30" s="17"/>
      <c r="F30" s="586"/>
      <c r="G30" s="589"/>
      <c r="H30" s="428">
        <f>ROUND(IF((H$29+H32)*'Tabellen PO-Raad'!$D$33&lt;H26*'Tabellen PO-Raad'!$D$35,H26*'Tabellen PO-Raad'!$D$35,(H$29+H32)*'Tabellen PO-Raad'!$D$33),2)</f>
        <v>491.92</v>
      </c>
      <c r="I30" s="299">
        <f>IF(I$21&lt;&gt;"[leeg]",ROUND(IF((I$29+I32)*'Tabellen PO-Raad'!$D$33&lt;I26*'Tabellen PO-Raad'!$D$35,I26*'Tabellen PO-Raad'!$D$35,(I$29+I32)*'Tabellen PO-Raad'!$D$33),2),0)</f>
        <v>491.92</v>
      </c>
      <c r="J30" s="299">
        <f>IF(J$21&lt;&gt;"[leeg]",ROUND(IF((J$29+J32)*'Tabellen PO-Raad'!$D$33&lt;J26*'Tabellen PO-Raad'!$D$35,J26*'Tabellen PO-Raad'!$D$35,(J$29+J32)*'Tabellen PO-Raad'!$D$33),2),0)</f>
        <v>491.92</v>
      </c>
      <c r="K30" s="299">
        <f>IF(K$21&lt;&gt;"[leeg]",ROUND(IF((K$29+K32)*'Tabellen PO-Raad'!$D$33&lt;K26*'Tabellen PO-Raad'!$D$35,K26*'Tabellen PO-Raad'!$D$35,(K$29+K32)*'Tabellen PO-Raad'!$D$33),2),0)</f>
        <v>491.92</v>
      </c>
      <c r="L30" s="299">
        <f>IF(L$21&lt;&gt;"[leeg]",ROUND(IF((L$29+L32)*'Tabellen PO-Raad'!$D$33&lt;L26*'Tabellen PO-Raad'!$D$35,L26*'Tabellen PO-Raad'!$D$35,(L$29+L32)*'Tabellen PO-Raad'!$D$33),2),0)</f>
        <v>491.92</v>
      </c>
      <c r="M30" s="299">
        <f>IF(M$21&lt;&gt;"[leeg]",ROUND(IF((M$29+M32)*'Tabellen PO-Raad'!$D$33&lt;M26*'Tabellen PO-Raad'!$D$35,M26*'Tabellen PO-Raad'!$D$35,(M$29+M32)*'Tabellen PO-Raad'!$D$33),2),0)</f>
        <v>491.92</v>
      </c>
      <c r="N30" s="299">
        <f>IF(N$21&lt;&gt;"[leeg]",ROUND(IF((N$29+N32)*'Tabellen PO-Raad'!$D$33&lt;N26*'Tabellen PO-Raad'!$D$35,N26*'Tabellen PO-Raad'!$D$35,(N$29+N32)*'Tabellen PO-Raad'!$D$33),2),0)</f>
        <v>0</v>
      </c>
      <c r="O30" s="299">
        <f>IF(O$21&lt;&gt;"[leeg]",ROUND(IF((O$29+O32)*'Tabellen PO-Raad'!$D$33&lt;O26*'Tabellen PO-Raad'!$D$35,O26*'Tabellen PO-Raad'!$D$35,(O$29+O32)*'Tabellen PO-Raad'!$D$33),2),0)</f>
        <v>0</v>
      </c>
      <c r="P30" s="299">
        <f>IF(P$21&lt;&gt;"[leeg]",ROUND(IF((P$29+P32)*'Tabellen PO-Raad'!$D$33&lt;P26*'Tabellen PO-Raad'!$D$35,P26*'Tabellen PO-Raad'!$D$35,(P$29+P32)*'Tabellen PO-Raad'!$D$33),2),0)</f>
        <v>0</v>
      </c>
      <c r="Q30" s="299">
        <f>IF(Q$21&lt;&gt;"[leeg]",ROUND(IF((Q$29+Q32)*'Tabellen PO-Raad'!$D$33&lt;Q26*'Tabellen PO-Raad'!$D$35,Q26*'Tabellen PO-Raad'!$D$35,(Q$29+Q32)*'Tabellen PO-Raad'!$D$33),2),0)</f>
        <v>0</v>
      </c>
      <c r="R30" s="299">
        <f t="shared" ref="R30:R38" si="21">H30*H$27+I30*I$27+J30*J$27+K30*K$27+L30*L$27+M30*M$27+N30*N$27+O30*O$27+P30*P$27+Q30*Q$27</f>
        <v>2539.1158356164383</v>
      </c>
      <c r="S30" s="283"/>
      <c r="T30" s="299">
        <f>IF($D$13="ja",'Loonkosten uitgebreid'!I30,ROUND(IF((T$29+T32)*'Tabellen PO-Raad'!$D$33&lt;T26*'Tabellen PO-Raad'!$D$35,T26*'Tabellen PO-Raad'!$D$35,(T$29+T32)*'Tabellen PO-Raad'!$D$33),2))</f>
        <v>491.92</v>
      </c>
      <c r="U30" s="299">
        <f>IF(U$21&lt;&gt;"[leeg]",I30,IF($D$13="ja",'Loonkosten uitgebreid'!J30,ROUND(IF((U$29+U32)*'Tabellen PO-Raad'!$D$33&lt;U26*'Tabellen PO-Raad'!$D$35,U26*'Tabellen PO-Raad'!$D$35,(U$29+U32)*'Tabellen PO-Raad'!$D$33),2)))</f>
        <v>491.92</v>
      </c>
      <c r="V30" s="299">
        <f>IF(V$21&lt;&gt;"[leeg]",J30,IF($D$13="ja",'Loonkosten uitgebreid'!K30,ROUND(IF((V$29+V32)*'Tabellen PO-Raad'!$D$33&lt;V26*'Tabellen PO-Raad'!$D$35,V26*'Tabellen PO-Raad'!$D$35,(V$29+V32)*'Tabellen PO-Raad'!$D$33),2)))</f>
        <v>491.92</v>
      </c>
      <c r="W30" s="299">
        <f>IF(W$21&lt;&gt;"[leeg]",K30,IF($D$13="ja",'Loonkosten uitgebreid'!L30,ROUND(IF((W$29+W32)*'Tabellen PO-Raad'!$D$33&lt;W26*'Tabellen PO-Raad'!$D$35,W26*'Tabellen PO-Raad'!$D$35,(W$29+W32)*'Tabellen PO-Raad'!$D$33),2)))</f>
        <v>491.92</v>
      </c>
      <c r="X30" s="299">
        <f>IF(X$21&lt;&gt;"[leeg]",L30,IF($D$13="ja",'Loonkosten uitgebreid'!M30,ROUND(IF((X$29+X32)*'Tabellen PO-Raad'!$D$33&lt;X26*'Tabellen PO-Raad'!$D$35,X26*'Tabellen PO-Raad'!$D$35,(X$29+X32)*'Tabellen PO-Raad'!$D$33),2)))</f>
        <v>491.92</v>
      </c>
      <c r="Y30" s="299">
        <f>IF(Y$21&lt;&gt;"[leeg]",M30,IF($D$13="ja",'Loonkosten uitgebreid'!N30,ROUND(IF((Y$29+Y32)*'Tabellen PO-Raad'!$D$33&lt;Y26*'Tabellen PO-Raad'!$D$35,Y26*'Tabellen PO-Raad'!$D$35,(Y$29+Y32)*'Tabellen PO-Raad'!$D$33),2)))</f>
        <v>491.92</v>
      </c>
      <c r="Z30" s="299">
        <f>IF(Z$21&lt;&gt;"[leeg]",N30,IF($D$13="ja",'Loonkosten uitgebreid'!O30,ROUND(IF((Z$29+Z32)*'Tabellen PO-Raad'!$D$33&lt;Z26*'Tabellen PO-Raad'!$D$35,Z26*'Tabellen PO-Raad'!$D$35,(Z$29+Z32)*'Tabellen PO-Raad'!$D$33),2)))</f>
        <v>0</v>
      </c>
      <c r="AA30" s="299">
        <f>IF(AA$21&lt;&gt;"[leeg]",O30,IF($D$13="ja",'Loonkosten uitgebreid'!P30,ROUND(IF((AA$29+AA32)*'Tabellen PO-Raad'!$D$33&lt;AA26*'Tabellen PO-Raad'!$D$35,AA26*'Tabellen PO-Raad'!$D$35,(AA$29+AA32)*'Tabellen PO-Raad'!$D$33),2)))</f>
        <v>0</v>
      </c>
      <c r="AB30" s="299">
        <f>IF(AB$21&lt;&gt;"[leeg]",P30,IF($D$13="ja",'Loonkosten uitgebreid'!Q30,ROUND(IF((AB$29+AB32)*'Tabellen PO-Raad'!$D$33&lt;AB26*'Tabellen PO-Raad'!$D$35,AB26*'Tabellen PO-Raad'!$D$35,(AB$29+AB32)*'Tabellen PO-Raad'!$D$33),2)))</f>
        <v>0</v>
      </c>
      <c r="AC30" s="299">
        <f>IF(AC$21&lt;&gt;"[leeg]",Q30,IF($D$13="ja",'Loonkosten uitgebreid'!R30,ROUND(IF((AC$29+AC32)*'Tabellen PO-Raad'!$D$33&lt;AC26*'Tabellen PO-Raad'!$D$35,AC26*'Tabellen PO-Raad'!$D$35,(AC$29+AC32)*'Tabellen PO-Raad'!$D$33),2)))</f>
        <v>2539.1158356164383</v>
      </c>
      <c r="AD30" s="299">
        <f t="shared" si="16"/>
        <v>2539.1158356164383</v>
      </c>
      <c r="AE30" s="283"/>
      <c r="AF30" s="299">
        <f>+H30*12</f>
        <v>5903.04</v>
      </c>
      <c r="AG30" s="299">
        <f t="shared" ref="AG30:AO35" si="22">+I30*12</f>
        <v>5903.04</v>
      </c>
      <c r="AH30" s="299">
        <f t="shared" si="22"/>
        <v>5903.04</v>
      </c>
      <c r="AI30" s="299">
        <f t="shared" si="22"/>
        <v>5903.04</v>
      </c>
      <c r="AJ30" s="299">
        <f t="shared" si="22"/>
        <v>5903.04</v>
      </c>
      <c r="AK30" s="299">
        <f t="shared" si="22"/>
        <v>5903.04</v>
      </c>
      <c r="AL30" s="299">
        <f t="shared" si="22"/>
        <v>0</v>
      </c>
      <c r="AM30" s="299">
        <f t="shared" si="22"/>
        <v>0</v>
      </c>
      <c r="AN30" s="299">
        <f t="shared" si="22"/>
        <v>0</v>
      </c>
      <c r="AO30" s="299">
        <f t="shared" si="22"/>
        <v>0</v>
      </c>
      <c r="AP30" s="299">
        <f t="shared" si="18"/>
        <v>30469.390027397261</v>
      </c>
      <c r="AQ30" s="283"/>
      <c r="AR30" s="304">
        <f t="shared" ref="AR30:AR35" si="23">T30*12</f>
        <v>5903.04</v>
      </c>
      <c r="AS30" s="304">
        <f t="shared" ref="AS30:AS35" si="24">U30*12</f>
        <v>5903.04</v>
      </c>
      <c r="AT30" s="304">
        <f t="shared" si="19"/>
        <v>5903.04</v>
      </c>
      <c r="AU30" s="304">
        <f t="shared" si="19"/>
        <v>5903.04</v>
      </c>
      <c r="AV30" s="304">
        <f t="shared" si="19"/>
        <v>5903.04</v>
      </c>
      <c r="AW30" s="304">
        <f t="shared" si="19"/>
        <v>5903.04</v>
      </c>
      <c r="AX30" s="304">
        <f t="shared" si="19"/>
        <v>0</v>
      </c>
      <c r="AY30" s="304">
        <f t="shared" si="19"/>
        <v>0</v>
      </c>
      <c r="AZ30" s="304">
        <f t="shared" si="19"/>
        <v>0</v>
      </c>
      <c r="BA30" s="304">
        <f t="shared" si="19"/>
        <v>0</v>
      </c>
      <c r="BB30" s="299">
        <f t="shared" si="20"/>
        <v>30469.390027397261</v>
      </c>
      <c r="BC30" s="11"/>
      <c r="BF30" s="32"/>
      <c r="BG30" s="32"/>
      <c r="BH30" s="32"/>
    </row>
    <row r="31" spans="2:60" s="16" customFormat="1" ht="12.95" customHeight="1" thickTop="1" thickBot="1" x14ac:dyDescent="0.25">
      <c r="B31" s="11"/>
      <c r="C31" s="26" t="s">
        <v>21</v>
      </c>
      <c r="D31" s="26"/>
      <c r="E31" s="17"/>
      <c r="F31" s="586"/>
      <c r="G31" s="590"/>
      <c r="H31" s="428">
        <f>ROUND((H$29+H32)*'Tabellen PO-Raad'!$D$36,2)</f>
        <v>512.21</v>
      </c>
      <c r="I31" s="299">
        <f>IF(I$21&lt;&gt;"[leeg]",ROUND((I$29+I32)*'Tabellen PO-Raad'!$D$36,2),0)</f>
        <v>512.21</v>
      </c>
      <c r="J31" s="299">
        <f>IF(J$21&lt;&gt;"[leeg]",ROUND((J$29+J32)*'Tabellen PO-Raad'!$D$36,2),0)</f>
        <v>512.21</v>
      </c>
      <c r="K31" s="299">
        <f>IF(K$21&lt;&gt;"[leeg]",ROUND((K$29+K32)*'Tabellen PO-Raad'!$D$36,2),0)</f>
        <v>512.21</v>
      </c>
      <c r="L31" s="299">
        <f>IF(L$21&lt;&gt;"[leeg]",ROUND((L$29+L32)*'Tabellen PO-Raad'!$D$36,2),0)</f>
        <v>512.21</v>
      </c>
      <c r="M31" s="299">
        <f>IF(M$21&lt;&gt;"[leeg]",ROUND((M$29+M32)*'Tabellen PO-Raad'!$D$36,2),0)</f>
        <v>512.21</v>
      </c>
      <c r="N31" s="299">
        <f>IF(N$21&lt;&gt;"[leeg]",ROUND((N$29+N32)*'Tabellen PO-Raad'!$D$36,2),0)</f>
        <v>0</v>
      </c>
      <c r="O31" s="299">
        <f>IF(O$21&lt;&gt;"[leeg]",ROUND((O$29+O32)*'Tabellen PO-Raad'!$D$36,2),0)</f>
        <v>0</v>
      </c>
      <c r="P31" s="299">
        <f>IF(P$21&lt;&gt;"[leeg]",ROUND((P$29+P32)*'Tabellen PO-Raad'!$D$36,2),0)</f>
        <v>0</v>
      </c>
      <c r="Q31" s="299">
        <f>IF(Q$21&lt;&gt;"[leeg]",ROUND((Q$29+Q32)*'Tabellen PO-Raad'!$D$36,2),0)</f>
        <v>0</v>
      </c>
      <c r="R31" s="299">
        <f t="shared" si="21"/>
        <v>2643.845589041096</v>
      </c>
      <c r="S31" s="283"/>
      <c r="T31" s="428">
        <f>IF($D$13="ja",'Loonkosten uitgebreid'!H31,ROUND((T$29+T32)*'Tabellen PO-Raad'!$D$36,2))</f>
        <v>512.21</v>
      </c>
      <c r="U31" s="428">
        <f>IF(U$21&lt;&gt;"[leeg]",IF($D$13="ja",'Loonkosten uitgebreid'!I31,ROUND((U$29+U32)*'Tabellen PO-Raad'!$D$36,2)),0)</f>
        <v>512.21</v>
      </c>
      <c r="V31" s="428">
        <f>IF(V$21&lt;&gt;"[leeg]",IF($D$13="ja",'Loonkosten uitgebreid'!J31,ROUND((V$29+V32)*'Tabellen PO-Raad'!$D$36,2)),0)</f>
        <v>512.21</v>
      </c>
      <c r="W31" s="428">
        <f>IF(W$21&lt;&gt;"[leeg]",IF($D$13="ja",'Loonkosten uitgebreid'!K31,ROUND((W$29+W32)*'Tabellen PO-Raad'!$D$36,2)),0)</f>
        <v>512.21</v>
      </c>
      <c r="X31" s="428">
        <f>IF(X$21&lt;&gt;"[leeg]",IF($D$13="ja",'Loonkosten uitgebreid'!L31,ROUND((X$29+X32)*'Tabellen PO-Raad'!$D$36,2)),0)</f>
        <v>512.21</v>
      </c>
      <c r="Y31" s="428">
        <f>IF(Y$21&lt;&gt;"[leeg]",IF($D$13="ja",'Loonkosten uitgebreid'!M31,ROUND((Y$29+Y32)*'Tabellen PO-Raad'!$D$36,2)),0)</f>
        <v>512.21</v>
      </c>
      <c r="Z31" s="428">
        <f>IF(Z$21&lt;&gt;"[leeg]",IF($D$13="ja",'Loonkosten uitgebreid'!N31,ROUND((Z$29+Z32)*'Tabellen PO-Raad'!$D$36,2)),0)</f>
        <v>0</v>
      </c>
      <c r="AA31" s="428">
        <f>IF(AA$21&lt;&gt;"[leeg]",IF($D$13="ja",'Loonkosten uitgebreid'!O31,ROUND((AA$29+AA32)*'Tabellen PO-Raad'!$D$36,2)),0)</f>
        <v>0</v>
      </c>
      <c r="AB31" s="428">
        <f>IF(AB$21&lt;&gt;"[leeg]",IF($D$13="ja",'Loonkosten uitgebreid'!P31,ROUND((AB$29+AB32)*'Tabellen PO-Raad'!$D$36,2)),0)</f>
        <v>0</v>
      </c>
      <c r="AC31" s="428">
        <f>IF(AC$21&lt;&gt;"[leeg]",IF($D$13="ja",'Loonkosten uitgebreid'!Q31,ROUND((AC$29+AC32)*'Tabellen PO-Raad'!$D$36,2)),0)</f>
        <v>0</v>
      </c>
      <c r="AD31" s="299">
        <f t="shared" si="16"/>
        <v>2643.845589041096</v>
      </c>
      <c r="AE31" s="283"/>
      <c r="AF31" s="299">
        <f>+H31*12</f>
        <v>6146.52</v>
      </c>
      <c r="AG31" s="299">
        <f t="shared" si="22"/>
        <v>6146.52</v>
      </c>
      <c r="AH31" s="299">
        <f t="shared" si="22"/>
        <v>6146.52</v>
      </c>
      <c r="AI31" s="299">
        <f t="shared" si="22"/>
        <v>6146.52</v>
      </c>
      <c r="AJ31" s="299">
        <f t="shared" si="22"/>
        <v>6146.52</v>
      </c>
      <c r="AK31" s="299">
        <f t="shared" si="22"/>
        <v>6146.52</v>
      </c>
      <c r="AL31" s="299">
        <f t="shared" si="22"/>
        <v>0</v>
      </c>
      <c r="AM31" s="299">
        <f t="shared" si="22"/>
        <v>0</v>
      </c>
      <c r="AN31" s="299">
        <f t="shared" si="22"/>
        <v>0</v>
      </c>
      <c r="AO31" s="299">
        <f t="shared" si="22"/>
        <v>0</v>
      </c>
      <c r="AP31" s="299">
        <f t="shared" si="18"/>
        <v>31726.147068493152</v>
      </c>
      <c r="AQ31" s="283"/>
      <c r="AR31" s="304">
        <f t="shared" si="23"/>
        <v>6146.52</v>
      </c>
      <c r="AS31" s="299">
        <f t="shared" si="24"/>
        <v>6146.52</v>
      </c>
      <c r="AT31" s="299">
        <f t="shared" si="19"/>
        <v>6146.52</v>
      </c>
      <c r="AU31" s="299">
        <f t="shared" si="19"/>
        <v>6146.52</v>
      </c>
      <c r="AV31" s="299">
        <f t="shared" si="19"/>
        <v>6146.52</v>
      </c>
      <c r="AW31" s="299">
        <f t="shared" si="19"/>
        <v>6146.52</v>
      </c>
      <c r="AX31" s="299">
        <f t="shared" si="19"/>
        <v>0</v>
      </c>
      <c r="AY31" s="299">
        <f t="shared" si="19"/>
        <v>0</v>
      </c>
      <c r="AZ31" s="299">
        <f t="shared" si="19"/>
        <v>0</v>
      </c>
      <c r="BA31" s="299">
        <f t="shared" si="19"/>
        <v>0</v>
      </c>
      <c r="BB31" s="299">
        <f t="shared" si="20"/>
        <v>31726.147068493152</v>
      </c>
      <c r="BC31" s="11"/>
      <c r="BF31" s="32"/>
      <c r="BG31" s="32"/>
      <c r="BH31" s="32"/>
    </row>
    <row r="32" spans="2:60" s="16" customFormat="1" ht="12.95" customHeight="1" thickTop="1" thickBot="1" x14ac:dyDescent="0.25">
      <c r="B32" s="11"/>
      <c r="C32" s="26" t="s">
        <v>48</v>
      </c>
      <c r="D32" s="26"/>
      <c r="E32" s="17"/>
      <c r="F32" s="586" t="str">
        <f>VLOOKUP(H$23,Saltab2023,23,FALSE)</f>
        <v>DIR</v>
      </c>
      <c r="G32" s="586" t="str">
        <f>IF(F32="OP",IF('Invoer gegevens'!$E$33="ja","ja","nee"),"nee")</f>
        <v>nee</v>
      </c>
      <c r="H32" s="428">
        <f>IF($G32="nee",0,(VLOOKUP(H23,'Tabellen PO-Raad'!$B$25:$C$28,2,FALSE)))</f>
        <v>0</v>
      </c>
      <c r="I32" s="299">
        <f>IF(I$21&lt;&gt;"[leeg]",IF($G32="nee",0,(VLOOKUP(I23,'Tabellen PO-Raad'!$B$25:$C$28,2,FALSE))),0)</f>
        <v>0</v>
      </c>
      <c r="J32" s="299">
        <f>IF(J$21&lt;&gt;"[leeg]",IF($G32="nee",0,(VLOOKUP(J23,'Tabellen PO-Raad'!$B$25:$C$28,2,FALSE))),0)</f>
        <v>0</v>
      </c>
      <c r="K32" s="299">
        <f>IF(K$21&lt;&gt;"[leeg]",IF($G32="nee",0,(VLOOKUP(K23,'Tabellen PO-Raad'!$B$25:$C$28,2,FALSE))),0)</f>
        <v>0</v>
      </c>
      <c r="L32" s="299">
        <f>IF(L$21&lt;&gt;"[leeg]",IF($G32="nee",0,(VLOOKUP(L23,'Tabellen PO-Raad'!$B$25:$C$28,2,FALSE))),0)</f>
        <v>0</v>
      </c>
      <c r="M32" s="299">
        <f>IF(M$21&lt;&gt;"[leeg]",IF($G32="nee",0,(VLOOKUP(M23,'Tabellen PO-Raad'!$B$25:$C$28,2,FALSE))),0)</f>
        <v>0</v>
      </c>
      <c r="N32" s="299">
        <f>IF(N$21&lt;&gt;"[leeg]",IF($G32="nee",0,(VLOOKUP(N23,'Tabellen PO-Raad'!$B$25:$C$28,2,FALSE))),0)</f>
        <v>0</v>
      </c>
      <c r="O32" s="299">
        <f>IF(O$21&lt;&gt;"[leeg]",IF($G32="nee",0,(VLOOKUP(O23,'Tabellen PO-Raad'!$B$25:$C$28,2,FALSE))),0)</f>
        <v>0</v>
      </c>
      <c r="P32" s="299">
        <f>IF(P$21&lt;&gt;"[leeg]",IF($G32="nee",0,(VLOOKUP(P23,'Tabellen PO-Raad'!$B$25:$C$28,2,FALSE))),0)</f>
        <v>0</v>
      </c>
      <c r="Q32" s="299">
        <f>IF(Q$21&lt;&gt;"[leeg]",IF($G32="nee",0,(VLOOKUP(Q23,'Tabellen PO-Raad'!$B$25:$C$28,2,FALSE))),0)</f>
        <v>0</v>
      </c>
      <c r="R32" s="299">
        <f t="shared" si="21"/>
        <v>0</v>
      </c>
      <c r="S32" s="283"/>
      <c r="T32" s="428">
        <f>IF($D$13="ja",'Loonkosten uitgebreid'!I32,IF($G32="nee",0,(VLOOKUP(T23,'Tabellen PO-Raad'!$B$25:$C$28,2,FALSE))))</f>
        <v>0</v>
      </c>
      <c r="U32" s="299">
        <f>IF(U$21&lt;&gt;"[leeg]",IF(U$21&lt;&gt;"[leeg]",IF($G32="nee",0,(VLOOKUP(U23,'Tabellen PO-Raad'!$B$25:$C$28,2,FALSE))),0),0)</f>
        <v>0</v>
      </c>
      <c r="V32" s="299">
        <f>IF(V$21&lt;&gt;"[leeg]",IF(V$21&lt;&gt;"[leeg]",IF($G32="nee",0,(VLOOKUP(V23,'Tabellen PO-Raad'!$B$25:$C$28,2,FALSE))),0),0)</f>
        <v>0</v>
      </c>
      <c r="W32" s="299">
        <f>IF(W$21&lt;&gt;"[leeg]",IF(W$21&lt;&gt;"[leeg]",IF($G32="nee",0,(VLOOKUP(W23,'Tabellen PO-Raad'!$B$25:$C$28,2,FALSE))),0),0)</f>
        <v>0</v>
      </c>
      <c r="X32" s="299">
        <f>IF(X$21&lt;&gt;"[leeg]",IF(X$21&lt;&gt;"[leeg]",IF($G32="nee",0,(VLOOKUP(X23,'Tabellen PO-Raad'!$B$25:$C$28,2,FALSE))),0),0)</f>
        <v>0</v>
      </c>
      <c r="Y32" s="299">
        <f>IF(Y$21&lt;&gt;"[leeg]",IF(Y$21&lt;&gt;"[leeg]",IF($G32="nee",0,(VLOOKUP(Y23,'Tabellen PO-Raad'!$B$25:$C$28,2,FALSE))),0),0)</f>
        <v>0</v>
      </c>
      <c r="Z32" s="299">
        <f>IF(Z$21&lt;&gt;"[leeg]",IF(Z$21&lt;&gt;"[leeg]",IF($G32="nee",0,(VLOOKUP(Z23,'Tabellen PO-Raad'!$B$25:$C$28,2,FALSE))),0),0)</f>
        <v>0</v>
      </c>
      <c r="AA32" s="299">
        <f>IF(AA$21&lt;&gt;"[leeg]",IF(AA$21&lt;&gt;"[leeg]",IF($G32="nee",0,(VLOOKUP(AA23,'Tabellen PO-Raad'!$B$25:$C$28,2,FALSE))),0),0)</f>
        <v>0</v>
      </c>
      <c r="AB32" s="299">
        <f>IF(AB$21&lt;&gt;"[leeg]",IF(AB$21&lt;&gt;"[leeg]",IF($G32="nee",0,(VLOOKUP(AB23,'Tabellen PO-Raad'!$B$25:$C$28,2,FALSE))),0),0)</f>
        <v>0</v>
      </c>
      <c r="AC32" s="299">
        <f>IF(AC$21&lt;&gt;"[leeg]",IF(AC$21&lt;&gt;"[leeg]",IF($G32="nee",0,(VLOOKUP(AC23,'Tabellen PO-Raad'!$B$25:$C$28,2,FALSE))),0),0)</f>
        <v>0</v>
      </c>
      <c r="AD32" s="299">
        <f t="shared" si="16"/>
        <v>0</v>
      </c>
      <c r="AE32" s="283"/>
      <c r="AF32" s="299">
        <f>+H32*12</f>
        <v>0</v>
      </c>
      <c r="AG32" s="299">
        <f t="shared" si="22"/>
        <v>0</v>
      </c>
      <c r="AH32" s="299">
        <f t="shared" si="22"/>
        <v>0</v>
      </c>
      <c r="AI32" s="299">
        <f t="shared" si="22"/>
        <v>0</v>
      </c>
      <c r="AJ32" s="299">
        <f t="shared" si="22"/>
        <v>0</v>
      </c>
      <c r="AK32" s="299">
        <f t="shared" si="22"/>
        <v>0</v>
      </c>
      <c r="AL32" s="299">
        <f t="shared" si="22"/>
        <v>0</v>
      </c>
      <c r="AM32" s="299">
        <f t="shared" si="22"/>
        <v>0</v>
      </c>
      <c r="AN32" s="299">
        <f t="shared" si="22"/>
        <v>0</v>
      </c>
      <c r="AO32" s="299">
        <f t="shared" si="22"/>
        <v>0</v>
      </c>
      <c r="AP32" s="299">
        <f t="shared" si="18"/>
        <v>0</v>
      </c>
      <c r="AQ32" s="283"/>
      <c r="AR32" s="304">
        <f t="shared" si="23"/>
        <v>0</v>
      </c>
      <c r="AS32" s="299">
        <f t="shared" si="24"/>
        <v>0</v>
      </c>
      <c r="AT32" s="299">
        <f t="shared" si="19"/>
        <v>0</v>
      </c>
      <c r="AU32" s="299">
        <f t="shared" si="19"/>
        <v>0</v>
      </c>
      <c r="AV32" s="299">
        <f t="shared" si="19"/>
        <v>0</v>
      </c>
      <c r="AW32" s="299">
        <f t="shared" si="19"/>
        <v>0</v>
      </c>
      <c r="AX32" s="299">
        <f t="shared" si="19"/>
        <v>0</v>
      </c>
      <c r="AY32" s="299">
        <f t="shared" si="19"/>
        <v>0</v>
      </c>
      <c r="AZ32" s="299">
        <f t="shared" si="19"/>
        <v>0</v>
      </c>
      <c r="BA32" s="299">
        <f t="shared" si="19"/>
        <v>0</v>
      </c>
      <c r="BB32" s="299">
        <f t="shared" si="20"/>
        <v>0</v>
      </c>
      <c r="BC32" s="11"/>
      <c r="BF32" s="32"/>
      <c r="BG32" s="32"/>
      <c r="BH32" s="32"/>
    </row>
    <row r="33" spans="1:60" s="16" customFormat="1" ht="12.95" customHeight="1" thickTop="1" thickBot="1" x14ac:dyDescent="0.25">
      <c r="B33" s="11"/>
      <c r="C33" s="26" t="s">
        <v>287</v>
      </c>
      <c r="D33" s="26"/>
      <c r="E33" s="17"/>
      <c r="F33" s="586" t="str">
        <f>VLOOKUP(H$23,Saltab2023,23,FALSE)</f>
        <v>DIR</v>
      </c>
      <c r="G33" s="586" t="str">
        <f>IF(F33="DIR","ja","nee")</f>
        <v>ja</v>
      </c>
      <c r="H33" s="428">
        <f>ROUND(IF($G33="ja",VLOOKUP(H23,Arbeidsmarkttoelage2023,2,FALSE)*IF(H$26&gt;1,1,H$26),0),2)</f>
        <v>220</v>
      </c>
      <c r="I33" s="299">
        <f t="shared" ref="I33:Q33" si="25">IF(I$21&lt;&gt;"[leeg]",ROUND(IF($G33="ja",VLOOKUP(I23,Arbeidsmarkttoelage2023,2)*IF(H$26&gt;1,1,H$26),0),2),0)</f>
        <v>220</v>
      </c>
      <c r="J33" s="299">
        <f t="shared" si="25"/>
        <v>220</v>
      </c>
      <c r="K33" s="299">
        <f t="shared" si="25"/>
        <v>220</v>
      </c>
      <c r="L33" s="299">
        <f t="shared" si="25"/>
        <v>220</v>
      </c>
      <c r="M33" s="299">
        <f t="shared" si="25"/>
        <v>220</v>
      </c>
      <c r="N33" s="299">
        <f t="shared" si="25"/>
        <v>0</v>
      </c>
      <c r="O33" s="299">
        <f t="shared" si="25"/>
        <v>0</v>
      </c>
      <c r="P33" s="299">
        <f t="shared" si="25"/>
        <v>0</v>
      </c>
      <c r="Q33" s="299">
        <f t="shared" si="25"/>
        <v>0</v>
      </c>
      <c r="R33" s="299">
        <f t="shared" si="21"/>
        <v>1135.5616438356165</v>
      </c>
      <c r="S33" s="283"/>
      <c r="T33" s="428">
        <f>IF($D$13="ja",'Loonkosten uitgebreid'!H33,ROUND(IF($G33="ja",VLOOKUP(T23,Arbeidsmarkttoelage2023,2)*IF(T$26&gt;1,1,T$26),0),2))</f>
        <v>220</v>
      </c>
      <c r="U33" s="299">
        <f t="shared" ref="U33:AC33" si="26">IF(U$21&lt;&gt;"[leeg]",IF(U$21&lt;&gt;"[leeg]",ROUND(IF($G33="ja",VLOOKUP(U23,Arbeidsmarkttoelage2023,2)*IF(T$26&gt;1,1,T$26),0),2),0),0)</f>
        <v>0</v>
      </c>
      <c r="V33" s="299">
        <f t="shared" si="26"/>
        <v>0</v>
      </c>
      <c r="W33" s="299">
        <f t="shared" si="26"/>
        <v>0</v>
      </c>
      <c r="X33" s="299">
        <f t="shared" si="26"/>
        <v>0</v>
      </c>
      <c r="Y33" s="299">
        <f t="shared" si="26"/>
        <v>0</v>
      </c>
      <c r="Z33" s="299">
        <f t="shared" si="26"/>
        <v>0</v>
      </c>
      <c r="AA33" s="299">
        <f t="shared" si="26"/>
        <v>0</v>
      </c>
      <c r="AB33" s="299">
        <f t="shared" si="26"/>
        <v>0</v>
      </c>
      <c r="AC33" s="299">
        <f t="shared" si="26"/>
        <v>0</v>
      </c>
      <c r="AD33" s="299">
        <f t="shared" si="16"/>
        <v>220</v>
      </c>
      <c r="AE33" s="283"/>
      <c r="AF33" s="299">
        <f t="shared" ref="AF33:AF35" si="27">+H33*12</f>
        <v>2640</v>
      </c>
      <c r="AG33" s="299">
        <f t="shared" si="22"/>
        <v>2640</v>
      </c>
      <c r="AH33" s="299">
        <f t="shared" si="22"/>
        <v>2640</v>
      </c>
      <c r="AI33" s="299">
        <f t="shared" si="22"/>
        <v>2640</v>
      </c>
      <c r="AJ33" s="299">
        <f t="shared" si="22"/>
        <v>2640</v>
      </c>
      <c r="AK33" s="299">
        <f t="shared" si="22"/>
        <v>2640</v>
      </c>
      <c r="AL33" s="299">
        <f t="shared" si="22"/>
        <v>0</v>
      </c>
      <c r="AM33" s="299">
        <f t="shared" si="22"/>
        <v>0</v>
      </c>
      <c r="AN33" s="299">
        <f t="shared" si="22"/>
        <v>0</v>
      </c>
      <c r="AO33" s="299">
        <f t="shared" si="22"/>
        <v>0</v>
      </c>
      <c r="AP33" s="299">
        <f t="shared" si="18"/>
        <v>13626.739726027397</v>
      </c>
      <c r="AQ33" s="283"/>
      <c r="AR33" s="304">
        <f t="shared" si="23"/>
        <v>2640</v>
      </c>
      <c r="AS33" s="299">
        <f t="shared" si="24"/>
        <v>0</v>
      </c>
      <c r="AT33" s="299">
        <f t="shared" si="19"/>
        <v>0</v>
      </c>
      <c r="AU33" s="299">
        <f t="shared" si="19"/>
        <v>0</v>
      </c>
      <c r="AV33" s="299">
        <f t="shared" si="19"/>
        <v>0</v>
      </c>
      <c r="AW33" s="299">
        <f t="shared" si="19"/>
        <v>0</v>
      </c>
      <c r="AX33" s="299">
        <f t="shared" si="19"/>
        <v>0</v>
      </c>
      <c r="AY33" s="299">
        <f t="shared" si="19"/>
        <v>0</v>
      </c>
      <c r="AZ33" s="299">
        <f t="shared" si="19"/>
        <v>0</v>
      </c>
      <c r="BA33" s="299">
        <f t="shared" si="19"/>
        <v>0</v>
      </c>
      <c r="BB33" s="299">
        <f t="shared" si="20"/>
        <v>2640</v>
      </c>
      <c r="BC33" s="11"/>
      <c r="BF33" s="32"/>
      <c r="BG33" s="32"/>
      <c r="BH33" s="32"/>
    </row>
    <row r="34" spans="1:60" s="16" customFormat="1" ht="12.95" customHeight="1" thickTop="1" thickBot="1" x14ac:dyDescent="0.25">
      <c r="B34" s="11"/>
      <c r="C34" s="26" t="s">
        <v>354</v>
      </c>
      <c r="D34" s="26"/>
      <c r="E34" s="17"/>
      <c r="F34" s="586"/>
      <c r="G34" s="586" t="str">
        <f>IF(F33="OOP","ja","nee")</f>
        <v>nee</v>
      </c>
      <c r="H34" s="428">
        <f>IF(H35&gt;0,0,ROUND(IF($G34="ja",IF($H23&lt;9,'Tabellen PO-Raad'!$D$38,'Tabellen PO-Raad'!$D$39)*IF(H$26&gt;1,1,H$26),0),2))</f>
        <v>0</v>
      </c>
      <c r="I34" s="299">
        <f>IF(I$21&lt;&gt;"[leeg]",IF(I35&gt;0,0,ROUND(IF($G34="ja",IF($I23&lt;9,'Tabellen PO-Raad'!$D$38,'Tabellen PO-Raad'!$D$39)*IF(I$26&gt;1,1,I$26),0),2)),0)</f>
        <v>0</v>
      </c>
      <c r="J34" s="299">
        <f>IF(J$21&lt;&gt;"[leeg]",IF(J35&gt;0,0,ROUND(IF($G34="ja",IF($I23&lt;9,'Tabellen PO-Raad'!$D$38,'Tabellen PO-Raad'!$D$39)*IF(J$26&gt;1,1,J$26),0),2)),0)</f>
        <v>0</v>
      </c>
      <c r="K34" s="299">
        <f>IF(K$21&lt;&gt;"[leeg]",IF(K35&gt;0,0,ROUND(IF($G34="ja",IF($I23&lt;9,'Tabellen PO-Raad'!$D$38,'Tabellen PO-Raad'!$D$39)*IF(K$26&gt;1,1,K$26),0),2)),0)</f>
        <v>0</v>
      </c>
      <c r="L34" s="299">
        <f>IF(L$21&lt;&gt;"[leeg]",IF(L35&gt;0,0,ROUND(IF($G34="ja",IF($I23&lt;9,'Tabellen PO-Raad'!$D$38,'Tabellen PO-Raad'!$D$39)*IF(L$26&gt;1,1,L$26),0),2)),0)</f>
        <v>0</v>
      </c>
      <c r="M34" s="299">
        <f>IF(M$21&lt;&gt;"[leeg]",IF(M35&gt;0,0,ROUND(IF($G34="ja",IF($I23&lt;9,'Tabellen PO-Raad'!$D$38,'Tabellen PO-Raad'!$D$39)*IF(M$26&gt;1,1,M$26),0),2)),0)</f>
        <v>0</v>
      </c>
      <c r="N34" s="299">
        <f>IF(N$21&lt;&gt;"[leeg]",IF(N35&gt;0,0,ROUND(IF($G34="ja",IF($I23&lt;9,'Tabellen PO-Raad'!$D$38,'Tabellen PO-Raad'!$D$39)*IF(N$26&gt;1,1,N$26),0),2)),0)</f>
        <v>0</v>
      </c>
      <c r="O34" s="299">
        <f>IF(O$21&lt;&gt;"[leeg]",IF(O35&gt;0,0,ROUND(IF($G34="ja",IF($I23&lt;9,'Tabellen PO-Raad'!$D$38,'Tabellen PO-Raad'!$D$39)*IF(O$26&gt;1,1,O$26),0),2)),0)</f>
        <v>0</v>
      </c>
      <c r="P34" s="299">
        <f>IF(P$21&lt;&gt;"[leeg]",IF(P35&gt;0,0,ROUND(IF($G34="ja",IF($I23&lt;9,'Tabellen PO-Raad'!$D$38,'Tabellen PO-Raad'!$D$39)*IF(P$26&gt;1,1,P$26),0),2)),0)</f>
        <v>0</v>
      </c>
      <c r="Q34" s="299">
        <f>IF(Q$21&lt;&gt;"[leeg]",IF(Q35&gt;0,0,ROUND(IF($G34="ja",IF($I23&lt;9,'Tabellen PO-Raad'!$D$38,'Tabellen PO-Raad'!$D$39)*IF(Q$26&gt;1,1,Q$26),0),2)),0)</f>
        <v>0</v>
      </c>
      <c r="R34" s="299">
        <f t="shared" si="21"/>
        <v>0</v>
      </c>
      <c r="S34" s="283"/>
      <c r="T34" s="299">
        <f>IF(T$21&lt;&gt;"[leeg]",IF(T35&gt;0,0,ROUND(IF($G34="ja",IF($I23&lt;9,'Tabellen PO-Raad'!$D$38,'Tabellen PO-Raad'!$D$39)*IF(T$26&gt;1,1,T$26),0),2)),0)</f>
        <v>0</v>
      </c>
      <c r="U34" s="299">
        <f>IF(U$21&lt;&gt;"[leeg]",IF(U35&gt;0,0,ROUND(IF($G34="ja",IF($I23&lt;9,'Tabellen PO-Raad'!$D$38,'Tabellen PO-Raad'!$D$39)*IF(U$26&gt;1,1,U$26),0),2)),0)</f>
        <v>0</v>
      </c>
      <c r="V34" s="299">
        <f>IF(V$21&lt;&gt;"[leeg]",IF(V35&gt;0,0,ROUND(IF($G34="ja",IF($I23&lt;9,'Tabellen PO-Raad'!$D$38,'Tabellen PO-Raad'!$D$39)*IF(V$26&gt;1,1,V$26),0),2)),0)</f>
        <v>0</v>
      </c>
      <c r="W34" s="299">
        <f>IF(W$21&lt;&gt;"[leeg]",IF(W35&gt;0,0,ROUND(IF($G34="ja",IF($I23&lt;9,'Tabellen PO-Raad'!$D$38,'Tabellen PO-Raad'!$D$39)*IF(W$26&gt;1,1,W$26),0),2)),0)</f>
        <v>0</v>
      </c>
      <c r="X34" s="299">
        <f>IF(X$21&lt;&gt;"[leeg]",IF(X35&gt;0,0,ROUND(IF($G34="ja",IF($I23&lt;9,'Tabellen PO-Raad'!$D$38,'Tabellen PO-Raad'!$D$39)*IF(X$26&gt;1,1,X$26),0),2)),0)</f>
        <v>0</v>
      </c>
      <c r="Y34" s="299">
        <f>IF(Y$21&lt;&gt;"[leeg]",IF(Y35&gt;0,0,ROUND(IF($G34="ja",IF($I23&lt;9,'Tabellen PO-Raad'!$D$38,'Tabellen PO-Raad'!$D$39)*IF(Y$26&gt;1,1,Y$26),0),2)),0)</f>
        <v>0</v>
      </c>
      <c r="Z34" s="299">
        <f>IF(Z$21&lt;&gt;"[leeg]",IF(Z35&gt;0,0,ROUND(IF($G34="ja",IF($I23&lt;9,'Tabellen PO-Raad'!$D$38,'Tabellen PO-Raad'!$D$39)*IF(Z$26&gt;1,1,Z$26),0),2)),0)</f>
        <v>0</v>
      </c>
      <c r="AA34" s="299">
        <f>IF(AA$21&lt;&gt;"[leeg]",IF(AA35&gt;0,0,ROUND(IF($G34="ja",IF($I23&lt;9,'Tabellen PO-Raad'!$D$38,'Tabellen PO-Raad'!$D$39)*IF(AA$26&gt;1,1,AA$26),0),2)),0)</f>
        <v>0</v>
      </c>
      <c r="AB34" s="299">
        <f>IF(AB$21&lt;&gt;"[leeg]",IF(AB35&gt;0,0,ROUND(IF($G34="ja",IF($I23&lt;9,'Tabellen PO-Raad'!$D$38,'Tabellen PO-Raad'!$D$39)*IF(AB$26&gt;1,1,AB$26),0),2)),0)</f>
        <v>0</v>
      </c>
      <c r="AC34" s="299">
        <f>IF(AC$21&lt;&gt;"[leeg]",ROUND(IF($G34="ja",IF($I23&lt;9,'Tabellen PO-Raad'!$D$38,'Tabellen PO-Raad'!$D$39)*IF(AC$26&gt;1,1,AC$26),0),2),0)</f>
        <v>0</v>
      </c>
      <c r="AD34" s="299">
        <f t="shared" si="16"/>
        <v>0</v>
      </c>
      <c r="AE34" s="283"/>
      <c r="AF34" s="299">
        <f t="shared" si="27"/>
        <v>0</v>
      </c>
      <c r="AG34" s="299">
        <f t="shared" si="22"/>
        <v>0</v>
      </c>
      <c r="AH34" s="299">
        <f t="shared" si="22"/>
        <v>0</v>
      </c>
      <c r="AI34" s="299">
        <f t="shared" si="22"/>
        <v>0</v>
      </c>
      <c r="AJ34" s="299">
        <f t="shared" si="22"/>
        <v>0</v>
      </c>
      <c r="AK34" s="299">
        <f t="shared" si="22"/>
        <v>0</v>
      </c>
      <c r="AL34" s="299">
        <f t="shared" si="22"/>
        <v>0</v>
      </c>
      <c r="AM34" s="299">
        <f t="shared" si="22"/>
        <v>0</v>
      </c>
      <c r="AN34" s="299">
        <f t="shared" si="22"/>
        <v>0</v>
      </c>
      <c r="AO34" s="299">
        <f t="shared" si="22"/>
        <v>0</v>
      </c>
      <c r="AP34" s="299">
        <f t="shared" si="18"/>
        <v>0</v>
      </c>
      <c r="AQ34" s="283"/>
      <c r="AR34" s="304">
        <f t="shared" si="23"/>
        <v>0</v>
      </c>
      <c r="AS34" s="299">
        <f t="shared" si="24"/>
        <v>0</v>
      </c>
      <c r="AT34" s="299">
        <f t="shared" si="19"/>
        <v>0</v>
      </c>
      <c r="AU34" s="299">
        <f t="shared" si="19"/>
        <v>0</v>
      </c>
      <c r="AV34" s="299">
        <f t="shared" si="19"/>
        <v>0</v>
      </c>
      <c r="AW34" s="299">
        <f t="shared" si="19"/>
        <v>0</v>
      </c>
      <c r="AX34" s="299">
        <f t="shared" si="19"/>
        <v>0</v>
      </c>
      <c r="AY34" s="299">
        <f t="shared" si="19"/>
        <v>0</v>
      </c>
      <c r="AZ34" s="299">
        <f t="shared" si="19"/>
        <v>0</v>
      </c>
      <c r="BA34" s="299">
        <f t="shared" si="19"/>
        <v>0</v>
      </c>
      <c r="BB34" s="299">
        <f t="shared" si="20"/>
        <v>0</v>
      </c>
      <c r="BC34" s="11"/>
      <c r="BF34" s="32"/>
      <c r="BG34" s="32"/>
      <c r="BH34" s="32"/>
    </row>
    <row r="35" spans="1:60" s="16" customFormat="1" ht="12.95" customHeight="1" thickTop="1" thickBot="1" x14ac:dyDescent="0.25">
      <c r="B35" s="11"/>
      <c r="C35" s="26" t="s">
        <v>355</v>
      </c>
      <c r="D35" s="26"/>
      <c r="E35" s="17"/>
      <c r="F35" s="591" t="str">
        <f>H23&amp;H24</f>
        <v>D1112</v>
      </c>
      <c r="G35" s="587">
        <f>VLOOKUP(F35,'Tabellen PO-Raad'!$C$52:$D$73,2,FALSE)</f>
        <v>136.66999999999999</v>
      </c>
      <c r="H35" s="428">
        <f>_xlfn.IFNA($G35*H$26,0)</f>
        <v>136.66999999999999</v>
      </c>
      <c r="I35" s="299">
        <f>IF(I$21&lt;&gt;"[leeg]",_xlfn.IFNA($G35*I$26,0),0)</f>
        <v>136.66999999999999</v>
      </c>
      <c r="J35" s="299">
        <f t="shared" ref="J35:Q35" si="28">IF(J$21&lt;&gt;"[leeg]",_xlfn.IFNA($G35*J$26,0),0)</f>
        <v>136.66999999999999</v>
      </c>
      <c r="K35" s="299">
        <f t="shared" si="28"/>
        <v>136.66999999999999</v>
      </c>
      <c r="L35" s="299">
        <f t="shared" si="28"/>
        <v>136.66999999999999</v>
      </c>
      <c r="M35" s="299">
        <f t="shared" si="28"/>
        <v>136.66999999999999</v>
      </c>
      <c r="N35" s="299">
        <f t="shared" si="28"/>
        <v>0</v>
      </c>
      <c r="O35" s="299">
        <f t="shared" si="28"/>
        <v>0</v>
      </c>
      <c r="P35" s="299">
        <f t="shared" si="28"/>
        <v>0</v>
      </c>
      <c r="Q35" s="299">
        <f t="shared" si="28"/>
        <v>0</v>
      </c>
      <c r="R35" s="299">
        <f t="shared" si="21"/>
        <v>705.44186301369859</v>
      </c>
      <c r="S35" s="283"/>
      <c r="T35" s="299">
        <f>_xlfn.IFNA($G35*T$26,0)</f>
        <v>68.334999999999994</v>
      </c>
      <c r="U35" s="299">
        <f>IF(U$21&lt;&gt;"[leeg]",_xlfn.IFNA($G35*U$26,0),0)</f>
        <v>68.334999999999994</v>
      </c>
      <c r="V35" s="299">
        <f t="shared" ref="V35:AC35" si="29">IF(V$21&lt;&gt;"[leeg]",_xlfn.IFNA($G35*V$26,0),0)</f>
        <v>68.334999999999994</v>
      </c>
      <c r="W35" s="299">
        <f t="shared" si="29"/>
        <v>68.334999999999994</v>
      </c>
      <c r="X35" s="299">
        <f t="shared" si="29"/>
        <v>68.334999999999994</v>
      </c>
      <c r="Y35" s="299">
        <f t="shared" si="29"/>
        <v>68.334999999999994</v>
      </c>
      <c r="Z35" s="299">
        <f t="shared" si="29"/>
        <v>0</v>
      </c>
      <c r="AA35" s="299">
        <f t="shared" si="29"/>
        <v>0</v>
      </c>
      <c r="AB35" s="299">
        <f t="shared" si="29"/>
        <v>0</v>
      </c>
      <c r="AC35" s="299">
        <f t="shared" si="29"/>
        <v>0</v>
      </c>
      <c r="AD35" s="299">
        <f t="shared" si="16"/>
        <v>352.7209315068493</v>
      </c>
      <c r="AE35" s="283"/>
      <c r="AF35" s="299">
        <f t="shared" si="27"/>
        <v>1640.04</v>
      </c>
      <c r="AG35" s="299">
        <f t="shared" si="22"/>
        <v>1640.04</v>
      </c>
      <c r="AH35" s="299">
        <f t="shared" si="22"/>
        <v>1640.04</v>
      </c>
      <c r="AI35" s="299">
        <f t="shared" si="22"/>
        <v>1640.04</v>
      </c>
      <c r="AJ35" s="299">
        <f t="shared" si="22"/>
        <v>1640.04</v>
      </c>
      <c r="AK35" s="299">
        <f t="shared" si="22"/>
        <v>1640.04</v>
      </c>
      <c r="AL35" s="299">
        <f t="shared" si="22"/>
        <v>0</v>
      </c>
      <c r="AM35" s="299">
        <f t="shared" si="22"/>
        <v>0</v>
      </c>
      <c r="AN35" s="299">
        <f t="shared" si="22"/>
        <v>0</v>
      </c>
      <c r="AO35" s="299">
        <f t="shared" si="22"/>
        <v>0</v>
      </c>
      <c r="AP35" s="299">
        <f t="shared" si="18"/>
        <v>8465.302356164384</v>
      </c>
      <c r="AQ35" s="283"/>
      <c r="AR35" s="304">
        <f t="shared" si="23"/>
        <v>820.02</v>
      </c>
      <c r="AS35" s="304">
        <f t="shared" si="24"/>
        <v>820.02</v>
      </c>
      <c r="AT35" s="304">
        <f t="shared" si="19"/>
        <v>820.02</v>
      </c>
      <c r="AU35" s="304">
        <f t="shared" si="19"/>
        <v>820.02</v>
      </c>
      <c r="AV35" s="304">
        <f t="shared" si="19"/>
        <v>820.02</v>
      </c>
      <c r="AW35" s="304">
        <f t="shared" si="19"/>
        <v>820.02</v>
      </c>
      <c r="AX35" s="304">
        <f t="shared" si="19"/>
        <v>0</v>
      </c>
      <c r="AY35" s="304">
        <f t="shared" si="19"/>
        <v>0</v>
      </c>
      <c r="AZ35" s="304">
        <f t="shared" si="19"/>
        <v>0</v>
      </c>
      <c r="BA35" s="304">
        <f t="shared" si="19"/>
        <v>0</v>
      </c>
      <c r="BB35" s="299">
        <f t="shared" si="20"/>
        <v>4232.651178082192</v>
      </c>
      <c r="BC35" s="11"/>
      <c r="BF35" s="32"/>
      <c r="BG35" s="32"/>
      <c r="BH35" s="32"/>
    </row>
    <row r="36" spans="1:60" s="16" customFormat="1" ht="12.95" customHeight="1" collapsed="1" thickTop="1" thickBot="1" x14ac:dyDescent="0.25">
      <c r="B36" s="11"/>
      <c r="C36" s="28" t="s">
        <v>82</v>
      </c>
      <c r="D36" s="28"/>
      <c r="E36" s="81"/>
      <c r="F36" s="591"/>
      <c r="G36" s="592"/>
      <c r="H36" s="304">
        <f t="shared" ref="H36:I36" si="30">SUM(H30:H35)</f>
        <v>1360.8000000000002</v>
      </c>
      <c r="I36" s="304">
        <f t="shared" si="30"/>
        <v>1360.8000000000002</v>
      </c>
      <c r="J36" s="304">
        <f t="shared" ref="J36:Q36" si="31">SUM(J30:J35)</f>
        <v>1360.8000000000002</v>
      </c>
      <c r="K36" s="304">
        <f t="shared" si="31"/>
        <v>1360.8000000000002</v>
      </c>
      <c r="L36" s="304">
        <f t="shared" si="31"/>
        <v>1360.8000000000002</v>
      </c>
      <c r="M36" s="304">
        <f t="shared" si="31"/>
        <v>1360.8000000000002</v>
      </c>
      <c r="N36" s="304">
        <f t="shared" si="31"/>
        <v>0</v>
      </c>
      <c r="O36" s="304">
        <f t="shared" si="31"/>
        <v>0</v>
      </c>
      <c r="P36" s="304">
        <f t="shared" si="31"/>
        <v>0</v>
      </c>
      <c r="Q36" s="304">
        <f t="shared" si="31"/>
        <v>0</v>
      </c>
      <c r="R36" s="304">
        <f t="shared" si="21"/>
        <v>7023.96493150685</v>
      </c>
      <c r="S36" s="283"/>
      <c r="T36" s="304">
        <f t="shared" ref="T36" si="32">SUM(T30:T35)</f>
        <v>1292.4650000000001</v>
      </c>
      <c r="U36" s="304">
        <f t="shared" ref="U36" si="33">SUM(U30:U35)</f>
        <v>1072.4650000000001</v>
      </c>
      <c r="V36" s="304">
        <f t="shared" ref="V36:AC36" si="34">SUM(V30:V35)</f>
        <v>1072.4650000000001</v>
      </c>
      <c r="W36" s="304">
        <f t="shared" si="34"/>
        <v>1072.4650000000001</v>
      </c>
      <c r="X36" s="304">
        <f t="shared" si="34"/>
        <v>1072.4650000000001</v>
      </c>
      <c r="Y36" s="304">
        <f t="shared" si="34"/>
        <v>1072.4650000000001</v>
      </c>
      <c r="Z36" s="304">
        <f t="shared" si="34"/>
        <v>0</v>
      </c>
      <c r="AA36" s="304">
        <f t="shared" si="34"/>
        <v>0</v>
      </c>
      <c r="AB36" s="304">
        <f t="shared" si="34"/>
        <v>0</v>
      </c>
      <c r="AC36" s="304">
        <f t="shared" si="34"/>
        <v>2539.1158356164383</v>
      </c>
      <c r="AD36" s="304">
        <f t="shared" si="16"/>
        <v>5755.6823561643841</v>
      </c>
      <c r="AE36" s="283"/>
      <c r="AF36" s="304">
        <f>SUM(AF30:AF35)</f>
        <v>16329.600000000002</v>
      </c>
      <c r="AG36" s="304">
        <f t="shared" ref="AG36:AO36" si="35">SUM(AG30:AG35)</f>
        <v>16329.600000000002</v>
      </c>
      <c r="AH36" s="304">
        <f t="shared" si="35"/>
        <v>16329.600000000002</v>
      </c>
      <c r="AI36" s="304">
        <f t="shared" si="35"/>
        <v>16329.600000000002</v>
      </c>
      <c r="AJ36" s="304">
        <f t="shared" si="35"/>
        <v>16329.600000000002</v>
      </c>
      <c r="AK36" s="304">
        <f t="shared" si="35"/>
        <v>16329.600000000002</v>
      </c>
      <c r="AL36" s="304">
        <f t="shared" si="35"/>
        <v>0</v>
      </c>
      <c r="AM36" s="304">
        <f t="shared" si="35"/>
        <v>0</v>
      </c>
      <c r="AN36" s="304">
        <f t="shared" si="35"/>
        <v>0</v>
      </c>
      <c r="AO36" s="304">
        <f t="shared" si="35"/>
        <v>0</v>
      </c>
      <c r="AP36" s="304">
        <f t="shared" si="18"/>
        <v>84287.579178082204</v>
      </c>
      <c r="AQ36" s="283"/>
      <c r="AR36" s="304">
        <f t="shared" ref="AR36:AS36" si="36">SUM(AR30:AR35)</f>
        <v>15509.580000000002</v>
      </c>
      <c r="AS36" s="304">
        <f t="shared" si="36"/>
        <v>12869.580000000002</v>
      </c>
      <c r="AT36" s="304">
        <f t="shared" ref="AT36:BA36" si="37">SUM(AT30:AT35)</f>
        <v>12869.580000000002</v>
      </c>
      <c r="AU36" s="304">
        <f t="shared" si="37"/>
        <v>12869.580000000002</v>
      </c>
      <c r="AV36" s="304">
        <f t="shared" si="37"/>
        <v>12869.580000000002</v>
      </c>
      <c r="AW36" s="304">
        <f t="shared" si="37"/>
        <v>12869.580000000002</v>
      </c>
      <c r="AX36" s="304">
        <f t="shared" si="37"/>
        <v>0</v>
      </c>
      <c r="AY36" s="304">
        <f t="shared" si="37"/>
        <v>0</v>
      </c>
      <c r="AZ36" s="304">
        <f t="shared" si="37"/>
        <v>0</v>
      </c>
      <c r="BA36" s="304">
        <f t="shared" si="37"/>
        <v>0</v>
      </c>
      <c r="BB36" s="304">
        <f t="shared" si="20"/>
        <v>69068.188273972613</v>
      </c>
      <c r="BC36" s="11"/>
      <c r="BF36" s="32"/>
      <c r="BG36" s="32"/>
      <c r="BH36" s="32"/>
    </row>
    <row r="37" spans="1:60" s="16" customFormat="1" ht="12.95" customHeight="1" thickTop="1" thickBot="1" x14ac:dyDescent="0.25">
      <c r="B37" s="11"/>
      <c r="C37" s="28" t="s">
        <v>118</v>
      </c>
      <c r="D37" s="28"/>
      <c r="E37" s="79"/>
      <c r="F37" s="586"/>
      <c r="G37" s="593"/>
      <c r="H37" s="304">
        <f t="shared" ref="H37:I37" si="38">H29+H36</f>
        <v>7509.8</v>
      </c>
      <c r="I37" s="304">
        <f t="shared" si="38"/>
        <v>7509.8</v>
      </c>
      <c r="J37" s="304">
        <f t="shared" ref="J37:Q37" si="39">J29+J36</f>
        <v>7509.8</v>
      </c>
      <c r="K37" s="304">
        <f t="shared" si="39"/>
        <v>7509.8</v>
      </c>
      <c r="L37" s="304">
        <f t="shared" si="39"/>
        <v>7509.8</v>
      </c>
      <c r="M37" s="304">
        <f t="shared" si="39"/>
        <v>7509.8</v>
      </c>
      <c r="N37" s="304">
        <f t="shared" si="39"/>
        <v>0</v>
      </c>
      <c r="O37" s="304">
        <f t="shared" si="39"/>
        <v>0</v>
      </c>
      <c r="P37" s="304">
        <f t="shared" si="39"/>
        <v>0</v>
      </c>
      <c r="Q37" s="304">
        <f t="shared" si="39"/>
        <v>0</v>
      </c>
      <c r="R37" s="304">
        <f t="shared" si="21"/>
        <v>38762.912876712326</v>
      </c>
      <c r="S37" s="283"/>
      <c r="T37" s="304">
        <f t="shared" ref="T37:U37" si="40">T29+T36</f>
        <v>4795.2649999999994</v>
      </c>
      <c r="U37" s="304">
        <f t="shared" si="40"/>
        <v>4766.3649999999998</v>
      </c>
      <c r="V37" s="304">
        <f t="shared" ref="V37:AC37" si="41">V29+V36</f>
        <v>4766.3649999999998</v>
      </c>
      <c r="W37" s="304">
        <f t="shared" si="41"/>
        <v>4766.3649999999998</v>
      </c>
      <c r="X37" s="304">
        <f t="shared" si="41"/>
        <v>4766.3649999999998</v>
      </c>
      <c r="Y37" s="304">
        <f t="shared" si="41"/>
        <v>4766.3649999999998</v>
      </c>
      <c r="Z37" s="304">
        <f t="shared" si="41"/>
        <v>0</v>
      </c>
      <c r="AA37" s="304">
        <f t="shared" si="41"/>
        <v>0</v>
      </c>
      <c r="AB37" s="304">
        <f t="shared" si="41"/>
        <v>0</v>
      </c>
      <c r="AC37" s="304">
        <f t="shared" si="41"/>
        <v>2539.1158356164383</v>
      </c>
      <c r="AD37" s="304">
        <f t="shared" si="16"/>
        <v>24631.178520547943</v>
      </c>
      <c r="AE37" s="283"/>
      <c r="AF37" s="304">
        <f t="shared" ref="AF37" si="42">AF29+AF36</f>
        <v>90117.6</v>
      </c>
      <c r="AG37" s="304">
        <f t="shared" ref="AG37" si="43">AG29+AG36</f>
        <v>90117.6</v>
      </c>
      <c r="AH37" s="304">
        <f t="shared" ref="AH37" si="44">AH29+AH36</f>
        <v>90117.6</v>
      </c>
      <c r="AI37" s="304">
        <f t="shared" ref="AI37" si="45">AI29+AI36</f>
        <v>90117.6</v>
      </c>
      <c r="AJ37" s="304">
        <f t="shared" ref="AJ37" si="46">AJ29+AJ36</f>
        <v>90117.6</v>
      </c>
      <c r="AK37" s="304">
        <f t="shared" ref="AK37" si="47">AK29+AK36</f>
        <v>90117.6</v>
      </c>
      <c r="AL37" s="304">
        <f t="shared" ref="AL37" si="48">AL29+AL36</f>
        <v>0</v>
      </c>
      <c r="AM37" s="304">
        <f t="shared" ref="AM37" si="49">AM29+AM36</f>
        <v>0</v>
      </c>
      <c r="AN37" s="304">
        <f t="shared" ref="AN37" si="50">AN29+AN36</f>
        <v>0</v>
      </c>
      <c r="AO37" s="304">
        <f t="shared" ref="AO37" si="51">AO29+AO36</f>
        <v>0</v>
      </c>
      <c r="AP37" s="304">
        <f t="shared" si="18"/>
        <v>465154.95452054794</v>
      </c>
      <c r="AQ37" s="283"/>
      <c r="AR37" s="304">
        <f t="shared" ref="AR37:AS37" si="52">AR29+AR36</f>
        <v>57543.18</v>
      </c>
      <c r="AS37" s="304">
        <f t="shared" si="52"/>
        <v>57196.38</v>
      </c>
      <c r="AT37" s="304">
        <f t="shared" ref="AT37:BA37" si="53">AT29+AT36</f>
        <v>57196.38</v>
      </c>
      <c r="AU37" s="304">
        <f t="shared" si="53"/>
        <v>57196.38</v>
      </c>
      <c r="AV37" s="304">
        <f t="shared" si="53"/>
        <v>57196.38</v>
      </c>
      <c r="AW37" s="304">
        <f t="shared" si="53"/>
        <v>57196.38</v>
      </c>
      <c r="AX37" s="304">
        <f t="shared" si="53"/>
        <v>0</v>
      </c>
      <c r="AY37" s="304">
        <f t="shared" si="53"/>
        <v>0</v>
      </c>
      <c r="AZ37" s="304">
        <f t="shared" si="53"/>
        <v>0</v>
      </c>
      <c r="BA37" s="304">
        <f t="shared" si="53"/>
        <v>0</v>
      </c>
      <c r="BB37" s="304">
        <f t="shared" si="20"/>
        <v>295574.14224657533</v>
      </c>
      <c r="BC37" s="11"/>
      <c r="BF37" s="32"/>
      <c r="BG37" s="32"/>
      <c r="BH37" s="32"/>
    </row>
    <row r="38" spans="1:60" s="16" customFormat="1" ht="12.95" customHeight="1" thickTop="1" thickBot="1" x14ac:dyDescent="0.25">
      <c r="B38" s="11"/>
      <c r="C38" s="42" t="s">
        <v>15</v>
      </c>
      <c r="D38" s="42"/>
      <c r="E38" s="82"/>
      <c r="F38" s="594"/>
      <c r="G38" s="595"/>
      <c r="H38" s="428">
        <f>AF38/12</f>
        <v>7509.8</v>
      </c>
      <c r="I38" s="299">
        <f>IF(I$21&lt;&gt;"[leeg]",AG38/12,0)</f>
        <v>7509.8</v>
      </c>
      <c r="J38" s="299">
        <f t="shared" ref="J38:Q38" si="54">IF(J$21&lt;&gt;"[leeg]",AH38/12,0)</f>
        <v>7509.8</v>
      </c>
      <c r="K38" s="299">
        <f t="shared" si="54"/>
        <v>7509.8</v>
      </c>
      <c r="L38" s="299">
        <f t="shared" si="54"/>
        <v>7509.8</v>
      </c>
      <c r="M38" s="299">
        <f t="shared" si="54"/>
        <v>7509.8</v>
      </c>
      <c r="N38" s="299">
        <f t="shared" si="54"/>
        <v>0</v>
      </c>
      <c r="O38" s="299">
        <f t="shared" si="54"/>
        <v>0</v>
      </c>
      <c r="P38" s="299">
        <f t="shared" si="54"/>
        <v>0</v>
      </c>
      <c r="Q38" s="299">
        <f t="shared" si="54"/>
        <v>0</v>
      </c>
      <c r="R38" s="299">
        <f t="shared" si="21"/>
        <v>38762.912876712326</v>
      </c>
      <c r="S38" s="283"/>
      <c r="T38" s="428">
        <f>AR38/12</f>
        <v>4795.2650000000003</v>
      </c>
      <c r="U38" s="299">
        <f>IF(U$21&lt;&gt;"[leeg]",AS38/12,0)</f>
        <v>4766.3649999999998</v>
      </c>
      <c r="V38" s="299">
        <f t="shared" ref="V38:AC38" si="55">IF(V$21&lt;&gt;"[leeg]",AT38/12,0)</f>
        <v>4766.3649999999998</v>
      </c>
      <c r="W38" s="299">
        <f t="shared" si="55"/>
        <v>4766.3649999999998</v>
      </c>
      <c r="X38" s="299">
        <f t="shared" si="55"/>
        <v>4766.3649999999998</v>
      </c>
      <c r="Y38" s="299">
        <f t="shared" si="55"/>
        <v>4766.3649999999998</v>
      </c>
      <c r="Z38" s="299">
        <f t="shared" si="55"/>
        <v>0</v>
      </c>
      <c r="AA38" s="299">
        <f t="shared" si="55"/>
        <v>0</v>
      </c>
      <c r="AB38" s="299">
        <f t="shared" si="55"/>
        <v>0</v>
      </c>
      <c r="AC38" s="299">
        <f t="shared" si="55"/>
        <v>0</v>
      </c>
      <c r="AD38" s="299">
        <f t="shared" si="16"/>
        <v>24631.178520547943</v>
      </c>
      <c r="AE38" s="283"/>
      <c r="AF38" s="299">
        <f>AF37</f>
        <v>90117.6</v>
      </c>
      <c r="AG38" s="299">
        <f t="shared" ref="AG38:AO38" si="56">AG37</f>
        <v>90117.6</v>
      </c>
      <c r="AH38" s="299">
        <f t="shared" si="56"/>
        <v>90117.6</v>
      </c>
      <c r="AI38" s="299">
        <f t="shared" si="56"/>
        <v>90117.6</v>
      </c>
      <c r="AJ38" s="299">
        <f t="shared" si="56"/>
        <v>90117.6</v>
      </c>
      <c r="AK38" s="299">
        <f t="shared" si="56"/>
        <v>90117.6</v>
      </c>
      <c r="AL38" s="299">
        <f t="shared" si="56"/>
        <v>0</v>
      </c>
      <c r="AM38" s="299">
        <f t="shared" si="56"/>
        <v>0</v>
      </c>
      <c r="AN38" s="299">
        <f t="shared" si="56"/>
        <v>0</v>
      </c>
      <c r="AO38" s="299">
        <f t="shared" si="56"/>
        <v>0</v>
      </c>
      <c r="AP38" s="299">
        <f t="shared" si="18"/>
        <v>465154.95452054794</v>
      </c>
      <c r="AQ38" s="283"/>
      <c r="AR38" s="299">
        <f>AR37</f>
        <v>57543.18</v>
      </c>
      <c r="AS38" s="299">
        <f t="shared" ref="AS38" si="57">AS37</f>
        <v>57196.38</v>
      </c>
      <c r="AT38" s="299">
        <f t="shared" ref="AT38:BA38" si="58">AT37</f>
        <v>57196.38</v>
      </c>
      <c r="AU38" s="299">
        <f t="shared" si="58"/>
        <v>57196.38</v>
      </c>
      <c r="AV38" s="299">
        <f t="shared" si="58"/>
        <v>57196.38</v>
      </c>
      <c r="AW38" s="299">
        <f t="shared" si="58"/>
        <v>57196.38</v>
      </c>
      <c r="AX38" s="299">
        <f t="shared" si="58"/>
        <v>0</v>
      </c>
      <c r="AY38" s="299">
        <f t="shared" si="58"/>
        <v>0</v>
      </c>
      <c r="AZ38" s="299">
        <f t="shared" si="58"/>
        <v>0</v>
      </c>
      <c r="BA38" s="299">
        <f t="shared" si="58"/>
        <v>0</v>
      </c>
      <c r="BB38" s="299">
        <f t="shared" si="20"/>
        <v>295574.14224657533</v>
      </c>
      <c r="BC38" s="11"/>
      <c r="BF38" s="32"/>
      <c r="BG38" s="32"/>
      <c r="BH38" s="32"/>
    </row>
    <row r="39" spans="1:60" s="16" customFormat="1" ht="12.95" customHeight="1" collapsed="1" thickTop="1" x14ac:dyDescent="0.2">
      <c r="B39" s="11"/>
      <c r="C39" s="28"/>
      <c r="D39" s="28"/>
      <c r="E39" s="79"/>
      <c r="F39" s="586"/>
      <c r="G39" s="593"/>
      <c r="H39" s="483"/>
      <c r="I39" s="287"/>
      <c r="J39" s="287"/>
      <c r="K39" s="287"/>
      <c r="L39" s="287"/>
      <c r="M39" s="287"/>
      <c r="N39" s="287"/>
      <c r="O39" s="287"/>
      <c r="P39" s="287"/>
      <c r="Q39" s="287"/>
      <c r="R39" s="287"/>
      <c r="S39" s="283"/>
      <c r="T39" s="287"/>
      <c r="U39" s="287"/>
      <c r="V39" s="287"/>
      <c r="W39" s="287"/>
      <c r="X39" s="287"/>
      <c r="Y39" s="287"/>
      <c r="Z39" s="287"/>
      <c r="AA39" s="287"/>
      <c r="AB39" s="287"/>
      <c r="AC39" s="287"/>
      <c r="AD39" s="287"/>
      <c r="AE39" s="283"/>
      <c r="AF39" s="306"/>
      <c r="AG39" s="306"/>
      <c r="AH39" s="306"/>
      <c r="AI39" s="306"/>
      <c r="AJ39" s="306"/>
      <c r="AK39" s="306"/>
      <c r="AL39" s="306"/>
      <c r="AM39" s="306"/>
      <c r="AN39" s="306"/>
      <c r="AO39" s="306"/>
      <c r="AP39" s="306"/>
      <c r="AQ39" s="283"/>
      <c r="AR39" s="306"/>
      <c r="AS39" s="306"/>
      <c r="AT39" s="306"/>
      <c r="AU39" s="306"/>
      <c r="AV39" s="306"/>
      <c r="AW39" s="306"/>
      <c r="AX39" s="306"/>
      <c r="AY39" s="306"/>
      <c r="AZ39" s="306"/>
      <c r="BA39" s="306"/>
      <c r="BB39" s="306"/>
      <c r="BC39" s="11"/>
      <c r="BF39" s="32"/>
      <c r="BG39" s="32"/>
      <c r="BH39" s="32"/>
    </row>
    <row r="40" spans="1:60" s="16" customFormat="1" ht="12.95" customHeight="1" x14ac:dyDescent="0.2">
      <c r="B40" s="26"/>
      <c r="C40" s="42" t="s">
        <v>332</v>
      </c>
      <c r="D40" s="42"/>
      <c r="E40" s="79"/>
      <c r="F40" s="586"/>
      <c r="G40" s="587"/>
      <c r="H40" s="484"/>
      <c r="I40" s="282"/>
      <c r="J40" s="282"/>
      <c r="K40" s="282"/>
      <c r="L40" s="282"/>
      <c r="M40" s="282"/>
      <c r="N40" s="282"/>
      <c r="O40" s="282"/>
      <c r="P40" s="282"/>
      <c r="Q40" s="282"/>
      <c r="R40" s="282"/>
      <c r="S40" s="283"/>
      <c r="T40" s="282"/>
      <c r="U40" s="282"/>
      <c r="V40" s="282"/>
      <c r="W40" s="282"/>
      <c r="X40" s="282"/>
      <c r="Y40" s="282"/>
      <c r="Z40" s="282"/>
      <c r="AA40" s="282"/>
      <c r="AB40" s="282"/>
      <c r="AC40" s="282"/>
      <c r="AD40" s="282"/>
      <c r="AE40" s="283"/>
      <c r="AF40" s="282"/>
      <c r="AG40" s="282"/>
      <c r="AH40" s="282"/>
      <c r="AI40" s="282"/>
      <c r="AJ40" s="282"/>
      <c r="AK40" s="282"/>
      <c r="AL40" s="282"/>
      <c r="AM40" s="282"/>
      <c r="AN40" s="282"/>
      <c r="AO40" s="282"/>
      <c r="AP40" s="282"/>
      <c r="AQ40" s="283"/>
      <c r="AR40" s="282"/>
      <c r="AS40" s="282"/>
      <c r="AT40" s="282"/>
      <c r="AU40" s="282"/>
      <c r="AV40" s="282"/>
      <c r="AW40" s="282"/>
      <c r="AX40" s="282"/>
      <c r="AY40" s="282"/>
      <c r="AZ40" s="282"/>
      <c r="BA40" s="282"/>
      <c r="BB40" s="282"/>
      <c r="BC40" s="11"/>
      <c r="BF40" s="32"/>
      <c r="BG40" s="32"/>
      <c r="BH40" s="32"/>
    </row>
    <row r="41" spans="1:60" s="33" customFormat="1" ht="12.95" customHeight="1" thickBot="1" x14ac:dyDescent="0.25">
      <c r="A41" s="16"/>
      <c r="B41" s="26"/>
      <c r="C41" s="42" t="s">
        <v>51</v>
      </c>
      <c r="D41" s="42"/>
      <c r="E41" s="82"/>
      <c r="F41" s="586"/>
      <c r="G41" s="587"/>
      <c r="H41" s="483"/>
      <c r="I41" s="287"/>
      <c r="J41" s="287"/>
      <c r="K41" s="287"/>
      <c r="L41" s="287"/>
      <c r="M41" s="287"/>
      <c r="N41" s="287"/>
      <c r="O41" s="287"/>
      <c r="P41" s="287"/>
      <c r="Q41" s="287"/>
      <c r="R41" s="287"/>
      <c r="S41" s="283"/>
      <c r="T41" s="287"/>
      <c r="U41" s="287"/>
      <c r="V41" s="287"/>
      <c r="W41" s="287"/>
      <c r="X41" s="287"/>
      <c r="Y41" s="287"/>
      <c r="Z41" s="287"/>
      <c r="AA41" s="287"/>
      <c r="AB41" s="287"/>
      <c r="AC41" s="287"/>
      <c r="AD41" s="287"/>
      <c r="AE41" s="283"/>
      <c r="AF41" s="287"/>
      <c r="AG41" s="287"/>
      <c r="AH41" s="287"/>
      <c r="AI41" s="287"/>
      <c r="AJ41" s="287"/>
      <c r="AK41" s="287"/>
      <c r="AL41" s="287"/>
      <c r="AM41" s="287"/>
      <c r="AN41" s="287"/>
      <c r="AO41" s="287"/>
      <c r="AP41" s="287"/>
      <c r="AQ41" s="283"/>
      <c r="AR41" s="287"/>
      <c r="AS41" s="287"/>
      <c r="AT41" s="287"/>
      <c r="AU41" s="287"/>
      <c r="AV41" s="287"/>
      <c r="AW41" s="287"/>
      <c r="AX41" s="287"/>
      <c r="AY41" s="287"/>
      <c r="AZ41" s="287"/>
      <c r="BA41" s="287"/>
      <c r="BB41" s="287"/>
      <c r="BC41" s="126"/>
      <c r="BF41" s="76"/>
      <c r="BG41" s="76"/>
      <c r="BH41" s="76"/>
    </row>
    <row r="42" spans="1:60" s="33" customFormat="1" ht="12.95" customHeight="1" thickTop="1" thickBot="1" x14ac:dyDescent="0.25">
      <c r="A42" s="16"/>
      <c r="B42" s="26"/>
      <c r="C42" s="26" t="s">
        <v>9</v>
      </c>
      <c r="D42" s="26"/>
      <c r="E42" s="17"/>
      <c r="F42" s="586"/>
      <c r="G42" s="587"/>
      <c r="H42" s="493">
        <f>IF(AF$38/H$26&lt;'Tabellen PO-Raad'!$C$8,0,(AF$38-'Tabellen PO-Raad'!$E$8*H$26)/12)*'Tabellen PO-Raad'!$C$8</f>
        <v>1127.9772000000003</v>
      </c>
      <c r="I42" s="307">
        <f>IF(I$21&lt;&gt;"[leeg]",IF(AG$38/I$26&lt;'Tabellen PO-Raad'!$C$8,0,(AG$38-'Tabellen PO-Raad'!$E$8*I$26)/12)*'Tabellen PO-Raad'!$C$8,0)</f>
        <v>1127.9772000000003</v>
      </c>
      <c r="J42" s="307">
        <f>IF(J$21&lt;&gt;"[leeg]",IF(AH$38/J$26&lt;'Tabellen PO-Raad'!$C$8,0,(AH$38-'Tabellen PO-Raad'!$E$8*J$26)/12)*'Tabellen PO-Raad'!$C$8,0)</f>
        <v>1127.9772000000003</v>
      </c>
      <c r="K42" s="307">
        <f>IF(K$21&lt;&gt;"[leeg]",IF(AI$38/K$26&lt;'Tabellen PO-Raad'!$C$8,0,(AI$38-'Tabellen PO-Raad'!$E$8*K$26)/12)*'Tabellen PO-Raad'!$C$8,0)</f>
        <v>1127.9772000000003</v>
      </c>
      <c r="L42" s="307">
        <f>IF(L$21&lt;&gt;"[leeg]",IF(AJ$38/L$26&lt;'Tabellen PO-Raad'!$C$8,0,(AJ$38-'Tabellen PO-Raad'!$E$8*L$26)/12)*'Tabellen PO-Raad'!$C$8,0)</f>
        <v>1127.9772000000003</v>
      </c>
      <c r="M42" s="307">
        <f>IF(M$21&lt;&gt;"[leeg]",IF(AK$38/M$26&lt;'Tabellen PO-Raad'!$C$8,0,(AK$38-'Tabellen PO-Raad'!$E$8*M$26)/12)*'Tabellen PO-Raad'!$C$8,0)</f>
        <v>1127.9772000000003</v>
      </c>
      <c r="N42" s="307">
        <f>IF(N$21&lt;&gt;"[leeg]",IF(AL$38/N$26&lt;'Tabellen PO-Raad'!$C$8,0,(AL$38-'Tabellen PO-Raad'!$E$8*N$26)/12)*'Tabellen PO-Raad'!$C$8,0)</f>
        <v>0</v>
      </c>
      <c r="O42" s="307">
        <f>IF(O$21&lt;&gt;"[leeg]",IF(AM$38/O$26&lt;'Tabellen PO-Raad'!$C$8,0,(AM$38-'Tabellen PO-Raad'!$E$8*O$26)/12)*'Tabellen PO-Raad'!$C$8,0)</f>
        <v>0</v>
      </c>
      <c r="P42" s="307">
        <f>IF(P$21&lt;&gt;"[leeg]",IF(AN$38/P$26&lt;'Tabellen PO-Raad'!$C$8,0,(AN$38-'Tabellen PO-Raad'!$E$8*P$26)/12)*'Tabellen PO-Raad'!$C$8,0)</f>
        <v>0</v>
      </c>
      <c r="Q42" s="307">
        <f>IF(Q$21&lt;&gt;"[leeg]",IF(AO$38/Q$26&lt;'Tabellen PO-Raad'!$C$8,0,(AO$38-'Tabellen PO-Raad'!$E$8*Q$26)/12)*'Tabellen PO-Raad'!$C$8,0)</f>
        <v>0</v>
      </c>
      <c r="R42" s="307">
        <f t="shared" ref="R42:R55" si="59">H42*H$27+I42*I$27+J42*J$27+K42*K$27+L42*L$27+M42*M$27+N42*N$27+O42*O$27+P42*P$27+Q42*Q$27</f>
        <v>5822.2165610958918</v>
      </c>
      <c r="S42" s="283"/>
      <c r="T42" s="433">
        <f>IF($D$15="ja",'Loonkosten uitgebreid'!H42,IF(AR$38/T$26&lt;'Tabellen PO-Raad'!$C$8,0,(AR$38-'Tabellen PO-Raad'!$E$8*T$26)/12)*'Tabellen PO-Raad'!$C$8)</f>
        <v>1127.9772000000003</v>
      </c>
      <c r="U42" s="433">
        <f>IF(U$21&lt;&gt;"[leeg]",IF($D$15="ja",'Loonkosten uitgebreid'!I42,IF(AS$38/U$26&lt;'Tabellen PO-Raad'!$C$8,0,(AS$38-'Tabellen PO-Raad'!$E$8*U$26)/12)*'Tabellen PO-Raad'!$C$8),0)</f>
        <v>1127.9772000000003</v>
      </c>
      <c r="V42" s="307">
        <f t="shared" ref="V42" si="60">IF(V21&lt;&gt;"[leeg]",J42,0)</f>
        <v>1127.9772000000003</v>
      </c>
      <c r="W42" s="307">
        <f t="shared" ref="W42" si="61">IF(W21&lt;&gt;"[leeg]",K42,0)</f>
        <v>1127.9772000000003</v>
      </c>
      <c r="X42" s="307">
        <f t="shared" ref="X42" si="62">IF(X21&lt;&gt;"[leeg]",L42,0)</f>
        <v>1127.9772000000003</v>
      </c>
      <c r="Y42" s="307">
        <f t="shared" ref="Y42" si="63">IF(Y21&lt;&gt;"[leeg]",M42,0)</f>
        <v>1127.9772000000003</v>
      </c>
      <c r="Z42" s="307">
        <f t="shared" ref="Z42" si="64">IF(Z21&lt;&gt;"[leeg]",N42,0)</f>
        <v>0</v>
      </c>
      <c r="AA42" s="307">
        <f t="shared" ref="AA42" si="65">IF(AA21&lt;&gt;"[leeg]",O42,0)</f>
        <v>0</v>
      </c>
      <c r="AB42" s="307">
        <f t="shared" ref="AB42" si="66">IF(AB21&lt;&gt;"[leeg]",P42,0)</f>
        <v>0</v>
      </c>
      <c r="AC42" s="307">
        <f t="shared" ref="AC42" si="67">IF(AC21&lt;&gt;"[leeg]",Q42,0)</f>
        <v>0</v>
      </c>
      <c r="AD42" s="307">
        <f t="shared" ref="AD42:AD52" si="68">T42*T$27+U42*U$27+V42*V$27+W42*W$27+X42*X$27+Y42*Y$27+Z42*Z$27+AA42*AA$27+AB42*AB$27+AC42*AC$27</f>
        <v>5822.2165610958918</v>
      </c>
      <c r="AE42" s="283"/>
      <c r="AF42" s="308">
        <f t="shared" ref="AF42:AF47" si="69">H42*12</f>
        <v>13535.726400000003</v>
      </c>
      <c r="AG42" s="308">
        <f t="shared" ref="AG42:AG47" si="70">I42*12</f>
        <v>13535.726400000003</v>
      </c>
      <c r="AH42" s="308">
        <f t="shared" ref="AH42:AH47" si="71">J42*12</f>
        <v>13535.726400000003</v>
      </c>
      <c r="AI42" s="308">
        <f t="shared" ref="AI42:AI47" si="72">K42*12</f>
        <v>13535.726400000003</v>
      </c>
      <c r="AJ42" s="308">
        <f t="shared" ref="AJ42:AJ47" si="73">L42*12</f>
        <v>13535.726400000003</v>
      </c>
      <c r="AK42" s="308">
        <f t="shared" ref="AK42:AK47" si="74">M42*12</f>
        <v>13535.726400000003</v>
      </c>
      <c r="AL42" s="308">
        <f t="shared" ref="AL42:AL47" si="75">N42*12</f>
        <v>0</v>
      </c>
      <c r="AM42" s="308">
        <f t="shared" ref="AM42:AM47" si="76">O42*12</f>
        <v>0</v>
      </c>
      <c r="AN42" s="308">
        <f t="shared" ref="AN42:AN47" si="77">P42*12</f>
        <v>0</v>
      </c>
      <c r="AO42" s="308">
        <f t="shared" ref="AO42:AO47" si="78">Q42*12</f>
        <v>0</v>
      </c>
      <c r="AP42" s="308">
        <f t="shared" ref="AP42:AP52" si="79">AF42*AF$27+AG42*AG$27+AH42*AH$27+AI42*AI$27+AJ42*AJ$27+AK42*AK$27+AL42*AL$27+AM42*AM$27+AN42*AN$27+AO42*AO$27</f>
        <v>69866.598733150691</v>
      </c>
      <c r="AQ42" s="283"/>
      <c r="AR42" s="308">
        <f t="shared" ref="AR42:AS47" si="80">T42*12</f>
        <v>13535.726400000003</v>
      </c>
      <c r="AS42" s="308">
        <f>IF(AS$21&lt;&gt;"[leeg]",U42*12,0)</f>
        <v>13535.726400000003</v>
      </c>
      <c r="AT42" s="308">
        <f t="shared" ref="AT42:AT47" si="81">V42*12</f>
        <v>13535.726400000003</v>
      </c>
      <c r="AU42" s="308">
        <f t="shared" ref="AU42:AU47" si="82">W42*12</f>
        <v>13535.726400000003</v>
      </c>
      <c r="AV42" s="308">
        <f t="shared" ref="AV42:AV47" si="83">X42*12</f>
        <v>13535.726400000003</v>
      </c>
      <c r="AW42" s="308">
        <f t="shared" ref="AW42:AW47" si="84">Y42*12</f>
        <v>13535.726400000003</v>
      </c>
      <c r="AX42" s="308">
        <f t="shared" ref="AX42:AX47" si="85">Z42*12</f>
        <v>0</v>
      </c>
      <c r="AY42" s="308">
        <f t="shared" ref="AY42:AY47" si="86">AA42*12</f>
        <v>0</v>
      </c>
      <c r="AZ42" s="308">
        <f t="shared" ref="AZ42:AZ47" si="87">AB42*12</f>
        <v>0</v>
      </c>
      <c r="BA42" s="308">
        <f t="shared" ref="BA42:BA47" si="88">AC42*12</f>
        <v>0</v>
      </c>
      <c r="BB42" s="308">
        <f t="shared" ref="BB42:BB52" si="89">AR42*AR$27+AS42*AS$27+AT42*AT$27+AU42*AU$27+AV42*AV$27+AW42*AW$27+AX42*AX$27+AY42*AY$27+AZ42*AZ$27+BA42*BA$27</f>
        <v>69866.598733150691</v>
      </c>
      <c r="BC42" s="126"/>
      <c r="BF42" s="76"/>
      <c r="BG42" s="76"/>
      <c r="BH42" s="76"/>
    </row>
    <row r="43" spans="1:60" s="16" customFormat="1" ht="12.95" customHeight="1" thickTop="1" thickBot="1" x14ac:dyDescent="0.25">
      <c r="A43" s="33"/>
      <c r="B43" s="26"/>
      <c r="C43" s="26" t="s">
        <v>29</v>
      </c>
      <c r="D43" s="26"/>
      <c r="E43" s="17"/>
      <c r="F43" s="586"/>
      <c r="G43" s="587"/>
      <c r="H43" s="493">
        <f>IF(AF$38/H$26&lt;'Tabellen PO-Raad'!$E$9,0,(AF$38-'Tabellen PO-Raad'!$E$9*H$26)/12)*'Tabellen PO-Raad'!$C$9</f>
        <v>32.427990000000001</v>
      </c>
      <c r="I43" s="307">
        <f>IF(I$21&lt;&gt;"[leeg]",IF(AF$38/H$26&lt;'Tabellen PO-Raad'!$E$9,0,(AF$38-'Tabellen PO-Raad'!$E$9*H$26)/12)*'Tabellen PO-Raad'!$C$9,0)</f>
        <v>32.427990000000001</v>
      </c>
      <c r="J43" s="307">
        <f>IF(J$21&lt;&gt;"[leeg]",IF(AG$38/I$26&lt;'Tabellen PO-Raad'!$E$9,0,(AG$38-'Tabellen PO-Raad'!$E$9*I$26)/12)*'Tabellen PO-Raad'!$C$9,0)</f>
        <v>32.427990000000001</v>
      </c>
      <c r="K43" s="307">
        <f>IF(K$21&lt;&gt;"[leeg]",IF(AH$38/J$26&lt;'Tabellen PO-Raad'!$E$9,0,(AH$38-'Tabellen PO-Raad'!$E$9*J$26)/12)*'Tabellen PO-Raad'!$C$9,0)</f>
        <v>32.427990000000001</v>
      </c>
      <c r="L43" s="307">
        <f>IF(L$21&lt;&gt;"[leeg]",IF(AI$38/K$26&lt;'Tabellen PO-Raad'!$E$9,0,(AI$38-'Tabellen PO-Raad'!$E$9*K$26)/12)*'Tabellen PO-Raad'!$C$9,0)</f>
        <v>32.427990000000001</v>
      </c>
      <c r="M43" s="307">
        <f>IF(M$21&lt;&gt;"[leeg]",IF(AJ$38/L$26&lt;'Tabellen PO-Raad'!$E$9,0,(AJ$38-'Tabellen PO-Raad'!$E$9*L$26)/12)*'Tabellen PO-Raad'!$C$9,0)</f>
        <v>32.427990000000001</v>
      </c>
      <c r="N43" s="307">
        <f>IF(N$21&lt;&gt;"[leeg]",IF(AK$38/M$26&lt;'Tabellen PO-Raad'!$E$9,0,(AK$38-'Tabellen PO-Raad'!$E$9*M$26)/12)*'Tabellen PO-Raad'!$C$9,0)</f>
        <v>0</v>
      </c>
      <c r="O43" s="307">
        <f>IF(O$21&lt;&gt;"[leeg]",IF(AL$38/N$26&lt;'Tabellen PO-Raad'!$E$9,0,(AL$38-'Tabellen PO-Raad'!$E$9*N$26)/12)*'Tabellen PO-Raad'!$C$9,0)</f>
        <v>0</v>
      </c>
      <c r="P43" s="307">
        <f>IF(P$21&lt;&gt;"[leeg]",IF(AM$38/O$26&lt;'Tabellen PO-Raad'!$E$9,0,(AM$38-'Tabellen PO-Raad'!$E$9*O$26)/12)*'Tabellen PO-Raad'!$C$9,0)</f>
        <v>0</v>
      </c>
      <c r="Q43" s="307">
        <f>IF(Q$21&lt;&gt;"[leeg]",IF(AN$38/P$26&lt;'Tabellen PO-Raad'!$E$9,0,(AN$38-'Tabellen PO-Raad'!$E$9*P$26)/12)*'Tabellen PO-Raad'!$C$9,0)</f>
        <v>0</v>
      </c>
      <c r="R43" s="307">
        <f t="shared" si="59"/>
        <v>167.3817346849315</v>
      </c>
      <c r="S43" s="283"/>
      <c r="T43" s="433">
        <f>IF($D$15="ja",H43,IF(AR$38/T$26&lt;'Tabellen PO-Raad'!$E$9,0,(AR$38-'Tabellen PO-Raad'!$E$9*T$26)/12)*'Tabellen PO-Raad'!$C$9)</f>
        <v>32.427990000000001</v>
      </c>
      <c r="U43" s="433">
        <f>IF(U$21&lt;&gt;"[leeg]",IF($D$15="ja",I43,IF(AS$38/U$26&lt;'Tabellen PO-Raad'!$E$9,0,(AS$38-'Tabellen PO-Raad'!$E$9*U$26)/12)*'Tabellen PO-Raad'!$C$9),0)</f>
        <v>32.427990000000001</v>
      </c>
      <c r="V43" s="307">
        <f t="shared" ref="V43:AC47" si="90">IF(V$21&lt;&gt;"[leeg]",J43,0)</f>
        <v>32.427990000000001</v>
      </c>
      <c r="W43" s="307">
        <f t="shared" si="90"/>
        <v>32.427990000000001</v>
      </c>
      <c r="X43" s="307">
        <f t="shared" si="90"/>
        <v>32.427990000000001</v>
      </c>
      <c r="Y43" s="307">
        <f t="shared" si="90"/>
        <v>32.427990000000001</v>
      </c>
      <c r="Z43" s="307">
        <f t="shared" si="90"/>
        <v>0</v>
      </c>
      <c r="AA43" s="307">
        <f t="shared" si="90"/>
        <v>0</v>
      </c>
      <c r="AB43" s="307">
        <f t="shared" si="90"/>
        <v>0</v>
      </c>
      <c r="AC43" s="307">
        <f t="shared" si="90"/>
        <v>0</v>
      </c>
      <c r="AD43" s="307">
        <f t="shared" si="68"/>
        <v>167.3817346849315</v>
      </c>
      <c r="AE43" s="283"/>
      <c r="AF43" s="308">
        <f t="shared" si="69"/>
        <v>389.13588000000004</v>
      </c>
      <c r="AG43" s="308">
        <f t="shared" si="70"/>
        <v>389.13588000000004</v>
      </c>
      <c r="AH43" s="308">
        <f t="shared" si="71"/>
        <v>389.13588000000004</v>
      </c>
      <c r="AI43" s="308">
        <f t="shared" si="72"/>
        <v>389.13588000000004</v>
      </c>
      <c r="AJ43" s="308">
        <f t="shared" si="73"/>
        <v>389.13588000000004</v>
      </c>
      <c r="AK43" s="308">
        <f t="shared" si="74"/>
        <v>389.13588000000004</v>
      </c>
      <c r="AL43" s="308">
        <f t="shared" si="75"/>
        <v>0</v>
      </c>
      <c r="AM43" s="308">
        <f t="shared" si="76"/>
        <v>0</v>
      </c>
      <c r="AN43" s="308">
        <f t="shared" si="77"/>
        <v>0</v>
      </c>
      <c r="AO43" s="308">
        <f t="shared" si="78"/>
        <v>0</v>
      </c>
      <c r="AP43" s="308">
        <f t="shared" si="79"/>
        <v>2008.5808162191784</v>
      </c>
      <c r="AQ43" s="283"/>
      <c r="AR43" s="308">
        <f t="shared" si="80"/>
        <v>389.13588000000004</v>
      </c>
      <c r="AS43" s="308">
        <f t="shared" si="80"/>
        <v>389.13588000000004</v>
      </c>
      <c r="AT43" s="308">
        <f t="shared" si="81"/>
        <v>389.13588000000004</v>
      </c>
      <c r="AU43" s="308">
        <f t="shared" si="82"/>
        <v>389.13588000000004</v>
      </c>
      <c r="AV43" s="308">
        <f t="shared" si="83"/>
        <v>389.13588000000004</v>
      </c>
      <c r="AW43" s="308">
        <f t="shared" si="84"/>
        <v>389.13588000000004</v>
      </c>
      <c r="AX43" s="308">
        <f t="shared" si="85"/>
        <v>0</v>
      </c>
      <c r="AY43" s="308">
        <f t="shared" si="86"/>
        <v>0</v>
      </c>
      <c r="AZ43" s="308">
        <f t="shared" si="87"/>
        <v>0</v>
      </c>
      <c r="BA43" s="308">
        <f t="shared" si="88"/>
        <v>0</v>
      </c>
      <c r="BB43" s="308">
        <f t="shared" si="89"/>
        <v>2008.5808162191784</v>
      </c>
      <c r="BC43" s="11"/>
      <c r="BF43" s="32"/>
      <c r="BG43" s="32"/>
      <c r="BH43" s="32"/>
    </row>
    <row r="44" spans="1:60" s="16" customFormat="1" ht="12.95" customHeight="1" thickTop="1" thickBot="1" x14ac:dyDescent="0.25">
      <c r="A44" s="33"/>
      <c r="B44" s="42"/>
      <c r="C44" s="26" t="s">
        <v>37</v>
      </c>
      <c r="D44" s="26"/>
      <c r="E44" s="17"/>
      <c r="F44" s="594"/>
      <c r="G44" s="587"/>
      <c r="H44" s="493">
        <f>H38*'Tabellen PO-Raad'!$C$10</f>
        <v>0</v>
      </c>
      <c r="I44" s="307">
        <f>IF(I$21&lt;&gt;"[leeg]",I38*'Tabellen PO-Raad'!$C$10,0)</f>
        <v>0</v>
      </c>
      <c r="J44" s="307">
        <f>IF(J$21&lt;&gt;"[leeg]",J38*'Tabellen PO-Raad'!$C$10,0)</f>
        <v>0</v>
      </c>
      <c r="K44" s="307">
        <f>IF(K$21&lt;&gt;"[leeg]",K38*'Tabellen PO-Raad'!$C$10,0)</f>
        <v>0</v>
      </c>
      <c r="L44" s="307">
        <f>IF(L$21&lt;&gt;"[leeg]",L38*'Tabellen PO-Raad'!$C$10,0)</f>
        <v>0</v>
      </c>
      <c r="M44" s="307">
        <f>IF(M$21&lt;&gt;"[leeg]",M38*'Tabellen PO-Raad'!$C$10,0)</f>
        <v>0</v>
      </c>
      <c r="N44" s="307">
        <f>IF(N$21&lt;&gt;"[leeg]",N38*'Tabellen PO-Raad'!$C$10,0)</f>
        <v>0</v>
      </c>
      <c r="O44" s="307">
        <f>IF(O$21&lt;&gt;"[leeg]",O38*'Tabellen PO-Raad'!$C$10,0)</f>
        <v>0</v>
      </c>
      <c r="P44" s="307">
        <f>IF(P$21&lt;&gt;"[leeg]",P38*'Tabellen PO-Raad'!$C$10,0)</f>
        <v>0</v>
      </c>
      <c r="Q44" s="307">
        <f>IF(Q$21&lt;&gt;"[leeg]",Q38*'Tabellen PO-Raad'!$C$10,0)</f>
        <v>0</v>
      </c>
      <c r="R44" s="307">
        <f t="shared" si="59"/>
        <v>0</v>
      </c>
      <c r="S44" s="283"/>
      <c r="T44" s="493">
        <f>IF(D15="ja",H44,T38*'Tabellen PO-Raad'!$C$10)</f>
        <v>0</v>
      </c>
      <c r="U44" s="307">
        <f>IF(U$21&lt;&gt;"[leeg]",IF(D15="ja",H44,T38*'Tabellen PO-Raad'!$C$10),0)</f>
        <v>0</v>
      </c>
      <c r="V44" s="307">
        <f>IF(V$21&lt;&gt;"[leeg]",IF(E15="ja",I44,U38*'Tabellen PO-Raad'!$C$10),0)</f>
        <v>0</v>
      </c>
      <c r="W44" s="307">
        <f>IF(W$21&lt;&gt;"[leeg]",IF(F15="ja",J44,V38*'Tabellen PO-Raad'!$C$10),0)</f>
        <v>0</v>
      </c>
      <c r="X44" s="307">
        <f>IF(X$21&lt;&gt;"[leeg]",IF(G15="ja",K44,W38*'Tabellen PO-Raad'!$C$10),0)</f>
        <v>0</v>
      </c>
      <c r="Y44" s="307">
        <f>IF(Y$21&lt;&gt;"[leeg]",IF(H15="ja",L44,X38*'Tabellen PO-Raad'!$C$10),0)</f>
        <v>0</v>
      </c>
      <c r="Z44" s="307">
        <f>IF(Z$21&lt;&gt;"[leeg]",IF(I15="ja",M44,Y38*'Tabellen PO-Raad'!$C$10),0)</f>
        <v>0</v>
      </c>
      <c r="AA44" s="307">
        <f>IF(AA$21&lt;&gt;"[leeg]",IF(J15="ja",N44,Z38*'Tabellen PO-Raad'!$C$10),0)</f>
        <v>0</v>
      </c>
      <c r="AB44" s="307">
        <f>IF(AB$21&lt;&gt;"[leeg]",IF(K15="ja",O44,AA38*'Tabellen PO-Raad'!$C$10),0)</f>
        <v>0</v>
      </c>
      <c r="AC44" s="307">
        <f>IF(AC$21&lt;&gt;"[leeg]",IF(L15="ja",P44,AB38*'Tabellen PO-Raad'!$C$10),0)</f>
        <v>0</v>
      </c>
      <c r="AD44" s="307">
        <f t="shared" si="68"/>
        <v>0</v>
      </c>
      <c r="AE44" s="283"/>
      <c r="AF44" s="308">
        <f t="shared" si="69"/>
        <v>0</v>
      </c>
      <c r="AG44" s="308">
        <f t="shared" si="70"/>
        <v>0</v>
      </c>
      <c r="AH44" s="308">
        <f t="shared" si="71"/>
        <v>0</v>
      </c>
      <c r="AI44" s="308">
        <f t="shared" si="72"/>
        <v>0</v>
      </c>
      <c r="AJ44" s="308">
        <f t="shared" si="73"/>
        <v>0</v>
      </c>
      <c r="AK44" s="308">
        <f t="shared" si="74"/>
        <v>0</v>
      </c>
      <c r="AL44" s="308">
        <f t="shared" si="75"/>
        <v>0</v>
      </c>
      <c r="AM44" s="308">
        <f t="shared" si="76"/>
        <v>0</v>
      </c>
      <c r="AN44" s="308">
        <f t="shared" si="77"/>
        <v>0</v>
      </c>
      <c r="AO44" s="308">
        <f t="shared" si="78"/>
        <v>0</v>
      </c>
      <c r="AP44" s="308">
        <f t="shared" si="79"/>
        <v>0</v>
      </c>
      <c r="AQ44" s="283"/>
      <c r="AR44" s="308">
        <f t="shared" si="80"/>
        <v>0</v>
      </c>
      <c r="AS44" s="308">
        <f t="shared" ref="AS44:AS47" si="91">U44*12</f>
        <v>0</v>
      </c>
      <c r="AT44" s="308">
        <f t="shared" si="81"/>
        <v>0</v>
      </c>
      <c r="AU44" s="308">
        <f t="shared" si="82"/>
        <v>0</v>
      </c>
      <c r="AV44" s="308">
        <f t="shared" si="83"/>
        <v>0</v>
      </c>
      <c r="AW44" s="308">
        <f t="shared" si="84"/>
        <v>0</v>
      </c>
      <c r="AX44" s="308">
        <f t="shared" si="85"/>
        <v>0</v>
      </c>
      <c r="AY44" s="308">
        <f t="shared" si="86"/>
        <v>0</v>
      </c>
      <c r="AZ44" s="308">
        <f t="shared" si="87"/>
        <v>0</v>
      </c>
      <c r="BA44" s="308">
        <f t="shared" si="88"/>
        <v>0</v>
      </c>
      <c r="BB44" s="308">
        <f t="shared" si="89"/>
        <v>0</v>
      </c>
      <c r="BC44" s="11"/>
      <c r="BF44" s="32"/>
      <c r="BG44" s="32"/>
      <c r="BH44" s="32"/>
    </row>
    <row r="45" spans="1:60" s="16" customFormat="1" ht="12.95" customHeight="1" thickTop="1" thickBot="1" x14ac:dyDescent="0.25">
      <c r="B45" s="42"/>
      <c r="C45" s="26" t="s">
        <v>74</v>
      </c>
      <c r="D45" s="26"/>
      <c r="E45" s="17"/>
      <c r="F45" s="586"/>
      <c r="G45" s="587"/>
      <c r="H45" s="493">
        <f>IF('Inkomensgevolgen uitgebreid'!D27&gt;'Tabellen PO-Raad'!$G$11/12,'Tabellen PO-Raad'!$G$11/12,'Inkomensgevolgen uitgebreid'!D27)*('Tabellen PO-Raad'!$C$11+'Tabellen PO-Raad'!$C$12)</f>
        <v>582.88840000000005</v>
      </c>
      <c r="I45" s="307">
        <f>IF(I$21&lt;&gt;"[leeg]",IF('Inkomensgevolgen uitgebreid'!E27&gt;'Tabellen PO-Raad'!$G$11/12,'Tabellen PO-Raad'!$G$11/12,'Inkomensgevolgen uitgebreid'!E27)*('Tabellen PO-Raad'!$C$11+'Tabellen PO-Raad'!$C$12),0)</f>
        <v>582.88840000000005</v>
      </c>
      <c r="J45" s="307">
        <f>IF(J$21&lt;&gt;"[leeg]",IF('Inkomensgevolgen uitgebreid'!F27&gt;'Tabellen PO-Raad'!$G$11/12,'Tabellen PO-Raad'!$G$11/12,'Inkomensgevolgen uitgebreid'!F27)*('Tabellen PO-Raad'!$C$11+'Tabellen PO-Raad'!$C$12),0)</f>
        <v>582.88840000000005</v>
      </c>
      <c r="K45" s="307">
        <f>IF(K$21&lt;&gt;"[leeg]",IF('Inkomensgevolgen uitgebreid'!G27&gt;'Tabellen PO-Raad'!$G$11/12,'Tabellen PO-Raad'!$G$11/12,'Inkomensgevolgen uitgebreid'!G27)*('Tabellen PO-Raad'!$C$11+'Tabellen PO-Raad'!$C$12),0)</f>
        <v>582.88840000000005</v>
      </c>
      <c r="L45" s="307">
        <f>IF(L$21&lt;&gt;"[leeg]",IF('Inkomensgevolgen uitgebreid'!H27&gt;'Tabellen PO-Raad'!$G$11/12,'Tabellen PO-Raad'!$G$11/12,'Inkomensgevolgen uitgebreid'!H27)*('Tabellen PO-Raad'!$C$11+'Tabellen PO-Raad'!$C$12),0)</f>
        <v>582.88840000000005</v>
      </c>
      <c r="M45" s="307">
        <f>IF(M$21&lt;&gt;"[leeg]",IF('Inkomensgevolgen uitgebreid'!I27&gt;'Tabellen PO-Raad'!$G$11/12,'Tabellen PO-Raad'!$G$11/12,'Inkomensgevolgen uitgebreid'!I27)*('Tabellen PO-Raad'!$C$11+'Tabellen PO-Raad'!$C$12),0)</f>
        <v>582.88840000000005</v>
      </c>
      <c r="N45" s="307">
        <f>IF(N$21&lt;&gt;"[leeg]",IF('Inkomensgevolgen uitgebreid'!J27&gt;'Tabellen PO-Raad'!$G$11/12,'Tabellen PO-Raad'!$G$11/12,'Inkomensgevolgen uitgebreid'!J27)*('Tabellen PO-Raad'!$C$11+'Tabellen PO-Raad'!$C$12),0)</f>
        <v>0</v>
      </c>
      <c r="O45" s="307">
        <f>IF(O$21&lt;&gt;"[leeg]",IF('Inkomensgevolgen uitgebreid'!K27&gt;'Tabellen PO-Raad'!$G$11/12,'Tabellen PO-Raad'!$G$11/12,'Inkomensgevolgen uitgebreid'!K27)*('Tabellen PO-Raad'!$C$11+'Tabellen PO-Raad'!$C$12),0)</f>
        <v>0</v>
      </c>
      <c r="P45" s="307">
        <f>IF(P$21&lt;&gt;"[leeg]",IF('Inkomensgevolgen uitgebreid'!L27&gt;'Tabellen PO-Raad'!$G$11/12,'Tabellen PO-Raad'!$G$11/12,'Inkomensgevolgen uitgebreid'!L27)*('Tabellen PO-Raad'!$C$11+'Tabellen PO-Raad'!$C$12),0)</f>
        <v>0</v>
      </c>
      <c r="Q45" s="307">
        <f>IF(Q$21&lt;&gt;"[leeg]",IF('Inkomensgevolgen uitgebreid'!M27&gt;'Tabellen PO-Raad'!$G$11/12,'Tabellen PO-Raad'!$G$11/12,'Inkomensgevolgen uitgebreid'!M27)*('Tabellen PO-Raad'!$C$11+'Tabellen PO-Raad'!$C$12),0)</f>
        <v>0</v>
      </c>
      <c r="R45" s="307">
        <f t="shared" si="59"/>
        <v>3008.6623167123289</v>
      </c>
      <c r="S45" s="283"/>
      <c r="T45" s="307">
        <f t="shared" ref="T45:T47" si="92">H45</f>
        <v>582.88840000000005</v>
      </c>
      <c r="U45" s="307">
        <f>IF(U$21&lt;&gt;"[leeg]",I45,0)</f>
        <v>582.88840000000005</v>
      </c>
      <c r="V45" s="307">
        <f t="shared" si="90"/>
        <v>582.88840000000005</v>
      </c>
      <c r="W45" s="307">
        <f t="shared" si="90"/>
        <v>582.88840000000005</v>
      </c>
      <c r="X45" s="307">
        <f t="shared" si="90"/>
        <v>582.88840000000005</v>
      </c>
      <c r="Y45" s="307">
        <f t="shared" si="90"/>
        <v>582.88840000000005</v>
      </c>
      <c r="Z45" s="307">
        <f t="shared" si="90"/>
        <v>0</v>
      </c>
      <c r="AA45" s="307">
        <f t="shared" si="90"/>
        <v>0</v>
      </c>
      <c r="AB45" s="307">
        <f t="shared" si="90"/>
        <v>0</v>
      </c>
      <c r="AC45" s="307">
        <f t="shared" si="90"/>
        <v>0</v>
      </c>
      <c r="AD45" s="307">
        <f t="shared" si="68"/>
        <v>3008.6623167123289</v>
      </c>
      <c r="AE45" s="283"/>
      <c r="AF45" s="308">
        <f t="shared" si="69"/>
        <v>6994.6608000000006</v>
      </c>
      <c r="AG45" s="308">
        <f t="shared" si="70"/>
        <v>6994.6608000000006</v>
      </c>
      <c r="AH45" s="308">
        <f t="shared" si="71"/>
        <v>6994.6608000000006</v>
      </c>
      <c r="AI45" s="308">
        <f t="shared" si="72"/>
        <v>6994.6608000000006</v>
      </c>
      <c r="AJ45" s="308">
        <f t="shared" si="73"/>
        <v>6994.6608000000006</v>
      </c>
      <c r="AK45" s="308">
        <f t="shared" si="74"/>
        <v>6994.6608000000006</v>
      </c>
      <c r="AL45" s="308">
        <f t="shared" si="75"/>
        <v>0</v>
      </c>
      <c r="AM45" s="308">
        <f t="shared" si="76"/>
        <v>0</v>
      </c>
      <c r="AN45" s="308">
        <f t="shared" si="77"/>
        <v>0</v>
      </c>
      <c r="AO45" s="308">
        <f t="shared" si="78"/>
        <v>0</v>
      </c>
      <c r="AP45" s="308">
        <f t="shared" si="79"/>
        <v>36103.947800547947</v>
      </c>
      <c r="AQ45" s="283"/>
      <c r="AR45" s="308">
        <f>T45*12</f>
        <v>6994.6608000000006</v>
      </c>
      <c r="AS45" s="308">
        <f t="shared" si="91"/>
        <v>6994.6608000000006</v>
      </c>
      <c r="AT45" s="308">
        <f t="shared" si="81"/>
        <v>6994.6608000000006</v>
      </c>
      <c r="AU45" s="308">
        <f t="shared" si="82"/>
        <v>6994.6608000000006</v>
      </c>
      <c r="AV45" s="308">
        <f t="shared" si="83"/>
        <v>6994.6608000000006</v>
      </c>
      <c r="AW45" s="308">
        <f t="shared" si="84"/>
        <v>6994.6608000000006</v>
      </c>
      <c r="AX45" s="308">
        <f t="shared" si="85"/>
        <v>0</v>
      </c>
      <c r="AY45" s="308">
        <f t="shared" si="86"/>
        <v>0</v>
      </c>
      <c r="AZ45" s="308">
        <f t="shared" si="87"/>
        <v>0</v>
      </c>
      <c r="BA45" s="308">
        <f t="shared" si="88"/>
        <v>0</v>
      </c>
      <c r="BB45" s="308">
        <f t="shared" si="89"/>
        <v>36103.947800547947</v>
      </c>
      <c r="BC45" s="11"/>
      <c r="BF45" s="32"/>
      <c r="BG45" s="32"/>
      <c r="BH45" s="32"/>
    </row>
    <row r="46" spans="1:60" s="16" customFormat="1" ht="12.95" customHeight="1" thickTop="1" thickBot="1" x14ac:dyDescent="0.25">
      <c r="B46" s="42"/>
      <c r="C46" s="26" t="s">
        <v>36</v>
      </c>
      <c r="D46" s="26"/>
      <c r="E46" s="17"/>
      <c r="F46" s="586"/>
      <c r="G46" s="587"/>
      <c r="H46" s="493">
        <f>ROUND(IF('Inkomensgevolgen uitgebreid'!D27&gt;'Tabellen PO-Raad'!$H$13,'Tabellen PO-Raad'!$H$13,'Inkomensgevolgen uitgebreid'!D27)*'Tabellen PO-Raad'!$C$13,2)</f>
        <v>411.56</v>
      </c>
      <c r="I46" s="307">
        <f>IF(I$21&lt;&gt;"[leeg]",ROUND(IF('Inkomensgevolgen uitgebreid'!E27&gt;'Tabellen PO-Raad'!$H13,'Tabellen PO-Raad'!$H13,'Inkomensgevolgen uitgebreid'!E27)*'Tabellen PO-Raad'!$C13,2),0)</f>
        <v>411.56</v>
      </c>
      <c r="J46" s="307">
        <f>IF(J$21&lt;&gt;"[leeg]",ROUND(IF('Inkomensgevolgen uitgebreid'!F27&gt;'Tabellen PO-Raad'!$H13,'Tabellen PO-Raad'!$H13,'Inkomensgevolgen uitgebreid'!F27)*'Tabellen PO-Raad'!$C13,2),0)</f>
        <v>411.56</v>
      </c>
      <c r="K46" s="307">
        <f>IF(K$21&lt;&gt;"[leeg]",ROUND(IF('Inkomensgevolgen uitgebreid'!G27&gt;'Tabellen PO-Raad'!$H13,'Tabellen PO-Raad'!$H13,'Inkomensgevolgen uitgebreid'!G27)*'Tabellen PO-Raad'!$C13,2),0)</f>
        <v>411.56</v>
      </c>
      <c r="L46" s="307">
        <f>IF(L$21&lt;&gt;"[leeg]",ROUND(IF('Inkomensgevolgen uitgebreid'!H27&gt;'Tabellen PO-Raad'!$H13,'Tabellen PO-Raad'!$H13,'Inkomensgevolgen uitgebreid'!H27)*'Tabellen PO-Raad'!$C13,2),0)</f>
        <v>411.56</v>
      </c>
      <c r="M46" s="307">
        <f>IF(M$21&lt;&gt;"[leeg]",ROUND(IF('Inkomensgevolgen uitgebreid'!I27&gt;'Tabellen PO-Raad'!$H13,'Tabellen PO-Raad'!$H13,'Inkomensgevolgen uitgebreid'!I27)*'Tabellen PO-Raad'!$C13,2),0)</f>
        <v>411.56</v>
      </c>
      <c r="N46" s="307">
        <f>IF(N$21&lt;&gt;"[leeg]",ROUND(IF('Inkomensgevolgen uitgebreid'!J27&gt;'Tabellen PO-Raad'!$H13,'Tabellen PO-Raad'!$H13,'Inkomensgevolgen uitgebreid'!J27)*'Tabellen PO-Raad'!$C13,2),0)</f>
        <v>0</v>
      </c>
      <c r="O46" s="307">
        <f>IF(O$21&lt;&gt;"[leeg]",ROUND(IF('Inkomensgevolgen uitgebreid'!K27&gt;'Tabellen PO-Raad'!$H13,'Tabellen PO-Raad'!$H13,'Inkomensgevolgen uitgebreid'!K27)*'Tabellen PO-Raad'!$C13,2),0)</f>
        <v>0</v>
      </c>
      <c r="P46" s="307">
        <f>IF(P$21&lt;&gt;"[leeg]",ROUND(IF('Inkomensgevolgen uitgebreid'!L27&gt;'Tabellen PO-Raad'!$H13,'Tabellen PO-Raad'!$H13,'Inkomensgevolgen uitgebreid'!L27)*'Tabellen PO-Raad'!$C13,2),0)</f>
        <v>0</v>
      </c>
      <c r="Q46" s="307">
        <f>IF(Q$21&lt;&gt;"[leeg]",ROUND(IF('Inkomensgevolgen uitgebreid'!M27&gt;'Tabellen PO-Raad'!$H13,'Tabellen PO-Raad'!$H13,'Inkomensgevolgen uitgebreid'!M27)*'Tabellen PO-Raad'!$C13,2),0)</f>
        <v>0</v>
      </c>
      <c r="R46" s="307">
        <f t="shared" si="59"/>
        <v>2124.3261369863017</v>
      </c>
      <c r="S46" s="283"/>
      <c r="T46" s="307">
        <f t="shared" si="92"/>
        <v>411.56</v>
      </c>
      <c r="U46" s="307">
        <f>IF(U$21&lt;&gt;"[leeg]",I46,0)</f>
        <v>411.56</v>
      </c>
      <c r="V46" s="307">
        <f t="shared" si="90"/>
        <v>411.56</v>
      </c>
      <c r="W46" s="307">
        <f t="shared" si="90"/>
        <v>411.56</v>
      </c>
      <c r="X46" s="307">
        <f t="shared" si="90"/>
        <v>411.56</v>
      </c>
      <c r="Y46" s="307">
        <f t="shared" si="90"/>
        <v>411.56</v>
      </c>
      <c r="Z46" s="307">
        <f t="shared" si="90"/>
        <v>0</v>
      </c>
      <c r="AA46" s="307">
        <f t="shared" si="90"/>
        <v>0</v>
      </c>
      <c r="AB46" s="307">
        <f t="shared" si="90"/>
        <v>0</v>
      </c>
      <c r="AC46" s="307">
        <f t="shared" si="90"/>
        <v>0</v>
      </c>
      <c r="AD46" s="307">
        <f t="shared" si="68"/>
        <v>2124.3261369863017</v>
      </c>
      <c r="AE46" s="283"/>
      <c r="AF46" s="308">
        <f t="shared" si="69"/>
        <v>4938.72</v>
      </c>
      <c r="AG46" s="308">
        <f t="shared" si="70"/>
        <v>4938.72</v>
      </c>
      <c r="AH46" s="308">
        <f t="shared" si="71"/>
        <v>4938.72</v>
      </c>
      <c r="AI46" s="308">
        <f t="shared" si="72"/>
        <v>4938.72</v>
      </c>
      <c r="AJ46" s="308">
        <f t="shared" si="73"/>
        <v>4938.72</v>
      </c>
      <c r="AK46" s="308">
        <f t="shared" si="74"/>
        <v>4938.72</v>
      </c>
      <c r="AL46" s="308">
        <f t="shared" si="75"/>
        <v>0</v>
      </c>
      <c r="AM46" s="308">
        <f t="shared" si="76"/>
        <v>0</v>
      </c>
      <c r="AN46" s="308">
        <f t="shared" si="77"/>
        <v>0</v>
      </c>
      <c r="AO46" s="308">
        <f t="shared" si="78"/>
        <v>0</v>
      </c>
      <c r="AP46" s="308">
        <f t="shared" si="79"/>
        <v>25491.913643835618</v>
      </c>
      <c r="AQ46" s="283"/>
      <c r="AR46" s="308">
        <f t="shared" si="80"/>
        <v>4938.72</v>
      </c>
      <c r="AS46" s="308">
        <f t="shared" si="91"/>
        <v>4938.72</v>
      </c>
      <c r="AT46" s="308">
        <f t="shared" si="81"/>
        <v>4938.72</v>
      </c>
      <c r="AU46" s="308">
        <f t="shared" si="82"/>
        <v>4938.72</v>
      </c>
      <c r="AV46" s="308">
        <f t="shared" si="83"/>
        <v>4938.72</v>
      </c>
      <c r="AW46" s="308">
        <f t="shared" si="84"/>
        <v>4938.72</v>
      </c>
      <c r="AX46" s="308">
        <f t="shared" si="85"/>
        <v>0</v>
      </c>
      <c r="AY46" s="308">
        <f t="shared" si="86"/>
        <v>0</v>
      </c>
      <c r="AZ46" s="308">
        <f t="shared" si="87"/>
        <v>0</v>
      </c>
      <c r="BA46" s="308">
        <f t="shared" si="88"/>
        <v>0</v>
      </c>
      <c r="BB46" s="308">
        <f t="shared" si="89"/>
        <v>25491.913643835618</v>
      </c>
      <c r="BC46" s="11"/>
      <c r="BF46" s="32"/>
      <c r="BG46" s="32"/>
      <c r="BH46" s="32"/>
    </row>
    <row r="47" spans="1:60" s="16" customFormat="1" ht="12.95" customHeight="1" thickTop="1" thickBot="1" x14ac:dyDescent="0.25">
      <c r="B47" s="26"/>
      <c r="C47" s="26" t="s">
        <v>14</v>
      </c>
      <c r="D47" s="26"/>
      <c r="E47" s="17"/>
      <c r="F47" s="586"/>
      <c r="G47" s="587"/>
      <c r="H47" s="493">
        <f>IF('Inkomensgevolgen uitgebreid'!D27&gt;'Tabellen PO-Raad'!$G$14*$H$26/12,'Tabellen PO-Raad'!$G$14*$H$26/12,'Inkomensgevolgen uitgebreid'!D27)*'Tabellen PO-Raad'!$C14</f>
        <v>42.989599999999996</v>
      </c>
      <c r="I47" s="307">
        <f>IF(I$21&lt;&gt;"[leeg]",IF('Inkomensgevolgen uitgebreid'!E27&gt;'Tabellen PO-Raad'!$G$14*$I$26/12,'Tabellen PO-Raad'!$G$14*$I$26/12,'Inkomensgevolgen uitgebreid'!E27)*'Tabellen PO-Raad'!$C14,0)</f>
        <v>42.989599999999996</v>
      </c>
      <c r="J47" s="307">
        <f>IF(J$21&lt;&gt;"[leeg]",IF('Inkomensgevolgen uitgebreid'!F27&gt;'Tabellen PO-Raad'!$G$14*$I$26/12,'Tabellen PO-Raad'!$G$14*$I$26/12,'Inkomensgevolgen uitgebreid'!F27)*'Tabellen PO-Raad'!$C14,0)</f>
        <v>42.989599999999996</v>
      </c>
      <c r="K47" s="307">
        <f>IF(K$21&lt;&gt;"[leeg]",IF('Inkomensgevolgen uitgebreid'!G27&gt;'Tabellen PO-Raad'!$G$14*$I$26/12,'Tabellen PO-Raad'!$G$14*$I$26/12,'Inkomensgevolgen uitgebreid'!G27)*'Tabellen PO-Raad'!$C14,0)</f>
        <v>42.989599999999996</v>
      </c>
      <c r="L47" s="307">
        <f>IF(L$21&lt;&gt;"[leeg]",IF('Inkomensgevolgen uitgebreid'!H27&gt;'Tabellen PO-Raad'!$G$14*$I$26/12,'Tabellen PO-Raad'!$G$14*$I$26/12,'Inkomensgevolgen uitgebreid'!H27)*'Tabellen PO-Raad'!$C14,0)</f>
        <v>42.989599999999996</v>
      </c>
      <c r="M47" s="307">
        <f>IF(M$21&lt;&gt;"[leeg]",IF('Inkomensgevolgen uitgebreid'!I27&gt;'Tabellen PO-Raad'!$G$14*$I$26/12,'Tabellen PO-Raad'!$G$14*$I$26/12,'Inkomensgevolgen uitgebreid'!I27)*'Tabellen PO-Raad'!$C14,0)</f>
        <v>42.989599999999996</v>
      </c>
      <c r="N47" s="307">
        <f>IF(N$21&lt;&gt;"[leeg]",IF('Inkomensgevolgen uitgebreid'!J27&gt;'Tabellen PO-Raad'!$G$14*$I$26/12,'Tabellen PO-Raad'!$G$14*$I$26/12,'Inkomensgevolgen uitgebreid'!J27)*'Tabellen PO-Raad'!$C14,0)</f>
        <v>0</v>
      </c>
      <c r="O47" s="307">
        <f>IF(O$21&lt;&gt;"[leeg]",IF('Inkomensgevolgen uitgebreid'!K27&gt;'Tabellen PO-Raad'!$G$14*$I$26/12,'Tabellen PO-Raad'!$G$14*$I$26/12,'Inkomensgevolgen uitgebreid'!K27)*'Tabellen PO-Raad'!$C14,0)</f>
        <v>0</v>
      </c>
      <c r="P47" s="307">
        <f>IF(P$21&lt;&gt;"[leeg]",IF('Inkomensgevolgen uitgebreid'!L27&gt;'Tabellen PO-Raad'!$G$14*$I$26/12,'Tabellen PO-Raad'!$G$14*$I$26/12,'Inkomensgevolgen uitgebreid'!L27)*'Tabellen PO-Raad'!$C14,0)</f>
        <v>0</v>
      </c>
      <c r="Q47" s="307">
        <f>IF(Q$21&lt;&gt;"[leeg]",IF('Inkomensgevolgen uitgebreid'!M27&gt;'Tabellen PO-Raad'!$G$14*$I$26/12,'Tabellen PO-Raad'!$G$14*$I$26/12,'Inkomensgevolgen uitgebreid'!M27)*'Tabellen PO-Raad'!$C14,0)</f>
        <v>0</v>
      </c>
      <c r="R47" s="307">
        <f t="shared" si="59"/>
        <v>221.89700383561643</v>
      </c>
      <c r="S47" s="283"/>
      <c r="T47" s="307">
        <f t="shared" si="92"/>
        <v>42.989599999999996</v>
      </c>
      <c r="U47" s="307">
        <f>IF(U$21&lt;&gt;"[leeg]",I47,0)</f>
        <v>42.989599999999996</v>
      </c>
      <c r="V47" s="307">
        <f t="shared" si="90"/>
        <v>42.989599999999996</v>
      </c>
      <c r="W47" s="307">
        <f t="shared" si="90"/>
        <v>42.989599999999996</v>
      </c>
      <c r="X47" s="307">
        <f t="shared" si="90"/>
        <v>42.989599999999996</v>
      </c>
      <c r="Y47" s="307">
        <f t="shared" si="90"/>
        <v>42.989599999999996</v>
      </c>
      <c r="Z47" s="307">
        <f t="shared" si="90"/>
        <v>0</v>
      </c>
      <c r="AA47" s="307">
        <f t="shared" si="90"/>
        <v>0</v>
      </c>
      <c r="AB47" s="307">
        <f t="shared" si="90"/>
        <v>0</v>
      </c>
      <c r="AC47" s="307">
        <f t="shared" si="90"/>
        <v>0</v>
      </c>
      <c r="AD47" s="307">
        <f t="shared" si="68"/>
        <v>221.89700383561643</v>
      </c>
      <c r="AE47" s="283"/>
      <c r="AF47" s="308">
        <f t="shared" si="69"/>
        <v>515.87519999999995</v>
      </c>
      <c r="AG47" s="308">
        <f t="shared" si="70"/>
        <v>515.87519999999995</v>
      </c>
      <c r="AH47" s="308">
        <f t="shared" si="71"/>
        <v>515.87519999999995</v>
      </c>
      <c r="AI47" s="308">
        <f t="shared" si="72"/>
        <v>515.87519999999995</v>
      </c>
      <c r="AJ47" s="308">
        <f t="shared" si="73"/>
        <v>515.87519999999995</v>
      </c>
      <c r="AK47" s="308">
        <f t="shared" si="74"/>
        <v>515.87519999999995</v>
      </c>
      <c r="AL47" s="308">
        <f t="shared" si="75"/>
        <v>0</v>
      </c>
      <c r="AM47" s="308">
        <f t="shared" si="76"/>
        <v>0</v>
      </c>
      <c r="AN47" s="308">
        <f t="shared" si="77"/>
        <v>0</v>
      </c>
      <c r="AO47" s="308">
        <f t="shared" si="78"/>
        <v>0</v>
      </c>
      <c r="AP47" s="308">
        <f t="shared" si="79"/>
        <v>2662.7640460273969</v>
      </c>
      <c r="AQ47" s="283"/>
      <c r="AR47" s="308">
        <f t="shared" si="80"/>
        <v>515.87519999999995</v>
      </c>
      <c r="AS47" s="308">
        <f t="shared" si="91"/>
        <v>515.87519999999995</v>
      </c>
      <c r="AT47" s="308">
        <f t="shared" si="81"/>
        <v>515.87519999999995</v>
      </c>
      <c r="AU47" s="308">
        <f t="shared" si="82"/>
        <v>515.87519999999995</v>
      </c>
      <c r="AV47" s="308">
        <f t="shared" si="83"/>
        <v>515.87519999999995</v>
      </c>
      <c r="AW47" s="308">
        <f t="shared" si="84"/>
        <v>515.87519999999995</v>
      </c>
      <c r="AX47" s="308">
        <f t="shared" si="85"/>
        <v>0</v>
      </c>
      <c r="AY47" s="308">
        <f t="shared" si="86"/>
        <v>0</v>
      </c>
      <c r="AZ47" s="308">
        <f t="shared" si="87"/>
        <v>0</v>
      </c>
      <c r="BA47" s="308">
        <f t="shared" si="88"/>
        <v>0</v>
      </c>
      <c r="BB47" s="308">
        <f t="shared" si="89"/>
        <v>2662.7640460273969</v>
      </c>
      <c r="BC47" s="11"/>
      <c r="BF47" s="32"/>
      <c r="BG47" s="32"/>
      <c r="BH47" s="32"/>
    </row>
    <row r="48" spans="1:60" s="16" customFormat="1" ht="12.95" customHeight="1" collapsed="1" thickTop="1" thickBot="1" x14ac:dyDescent="0.25">
      <c r="B48" s="26"/>
      <c r="C48" s="28" t="s">
        <v>51</v>
      </c>
      <c r="D48" s="28"/>
      <c r="E48" s="82"/>
      <c r="F48" s="594"/>
      <c r="G48" s="595"/>
      <c r="H48" s="304">
        <f>SUM(H42:H47)</f>
        <v>2197.84319</v>
      </c>
      <c r="I48" s="309">
        <f t="shared" ref="I48" si="93">SUM(I42:I47)</f>
        <v>2197.84319</v>
      </c>
      <c r="J48" s="309">
        <f t="shared" ref="J48" si="94">SUM(J42:J47)</f>
        <v>2197.84319</v>
      </c>
      <c r="K48" s="309">
        <f t="shared" ref="K48" si="95">SUM(K42:K47)</f>
        <v>2197.84319</v>
      </c>
      <c r="L48" s="309">
        <f t="shared" ref="L48" si="96">SUM(L42:L47)</f>
        <v>2197.84319</v>
      </c>
      <c r="M48" s="309">
        <f t="shared" ref="M48" si="97">SUM(M42:M47)</f>
        <v>2197.84319</v>
      </c>
      <c r="N48" s="309">
        <f t="shared" ref="N48" si="98">SUM(N42:N47)</f>
        <v>0</v>
      </c>
      <c r="O48" s="309">
        <f t="shared" ref="O48" si="99">SUM(O42:O47)</f>
        <v>0</v>
      </c>
      <c r="P48" s="309">
        <f t="shared" ref="P48" si="100">SUM(P42:P47)</f>
        <v>0</v>
      </c>
      <c r="Q48" s="309">
        <f t="shared" ref="Q48" si="101">SUM(Q42:Q47)</f>
        <v>0</v>
      </c>
      <c r="R48" s="309">
        <f t="shared" si="59"/>
        <v>11344.483753315068</v>
      </c>
      <c r="S48" s="283"/>
      <c r="T48" s="309">
        <f>SUM(T42:T47)</f>
        <v>2197.84319</v>
      </c>
      <c r="U48" s="309">
        <f>SUM(U42:U47)</f>
        <v>2197.84319</v>
      </c>
      <c r="V48" s="309">
        <f t="shared" ref="V48:AC48" si="102">SUM(V42:V47)</f>
        <v>2197.84319</v>
      </c>
      <c r="W48" s="309">
        <f t="shared" si="102"/>
        <v>2197.84319</v>
      </c>
      <c r="X48" s="309">
        <f t="shared" si="102"/>
        <v>2197.84319</v>
      </c>
      <c r="Y48" s="309">
        <f t="shared" si="102"/>
        <v>2197.84319</v>
      </c>
      <c r="Z48" s="309">
        <f t="shared" si="102"/>
        <v>0</v>
      </c>
      <c r="AA48" s="309">
        <f t="shared" si="102"/>
        <v>0</v>
      </c>
      <c r="AB48" s="309">
        <f t="shared" si="102"/>
        <v>0</v>
      </c>
      <c r="AC48" s="309">
        <f t="shared" si="102"/>
        <v>0</v>
      </c>
      <c r="AD48" s="309">
        <f t="shared" si="68"/>
        <v>11344.483753315068</v>
      </c>
      <c r="AE48" s="283"/>
      <c r="AF48" s="309">
        <f>SUM(AF42:AF47)</f>
        <v>26374.118280000002</v>
      </c>
      <c r="AG48" s="309">
        <f t="shared" ref="AG48:AO48" si="103">SUM(AG42:AG47)</f>
        <v>26374.118280000002</v>
      </c>
      <c r="AH48" s="309">
        <f t="shared" si="103"/>
        <v>26374.118280000002</v>
      </c>
      <c r="AI48" s="309">
        <f t="shared" si="103"/>
        <v>26374.118280000002</v>
      </c>
      <c r="AJ48" s="309">
        <f t="shared" si="103"/>
        <v>26374.118280000002</v>
      </c>
      <c r="AK48" s="309">
        <f t="shared" si="103"/>
        <v>26374.118280000002</v>
      </c>
      <c r="AL48" s="309">
        <f t="shared" si="103"/>
        <v>0</v>
      </c>
      <c r="AM48" s="309">
        <f t="shared" si="103"/>
        <v>0</v>
      </c>
      <c r="AN48" s="309">
        <f t="shared" si="103"/>
        <v>0</v>
      </c>
      <c r="AO48" s="309">
        <f t="shared" si="103"/>
        <v>0</v>
      </c>
      <c r="AP48" s="309">
        <f t="shared" si="79"/>
        <v>136133.80503978083</v>
      </c>
      <c r="AQ48" s="283"/>
      <c r="AR48" s="309">
        <f>SUM(AR42:AR47)</f>
        <v>26374.118280000002</v>
      </c>
      <c r="AS48" s="309">
        <f t="shared" ref="AS48:BA48" si="104">SUM(AS42:AS47)</f>
        <v>26374.118280000002</v>
      </c>
      <c r="AT48" s="309">
        <f t="shared" si="104"/>
        <v>26374.118280000002</v>
      </c>
      <c r="AU48" s="309">
        <f t="shared" si="104"/>
        <v>26374.118280000002</v>
      </c>
      <c r="AV48" s="309">
        <f t="shared" si="104"/>
        <v>26374.118280000002</v>
      </c>
      <c r="AW48" s="309">
        <f t="shared" si="104"/>
        <v>26374.118280000002</v>
      </c>
      <c r="AX48" s="309">
        <f t="shared" si="104"/>
        <v>0</v>
      </c>
      <c r="AY48" s="309">
        <f t="shared" si="104"/>
        <v>0</v>
      </c>
      <c r="AZ48" s="309">
        <f t="shared" si="104"/>
        <v>0</v>
      </c>
      <c r="BA48" s="309">
        <f t="shared" si="104"/>
        <v>0</v>
      </c>
      <c r="BB48" s="309">
        <f t="shared" si="89"/>
        <v>136133.80503978083</v>
      </c>
      <c r="BC48" s="11"/>
      <c r="BF48" s="32"/>
      <c r="BG48" s="32"/>
      <c r="BH48" s="32"/>
    </row>
    <row r="49" spans="1:60" s="16" customFormat="1" ht="12.95" customHeight="1" thickTop="1" thickBot="1" x14ac:dyDescent="0.25">
      <c r="B49" s="26"/>
      <c r="C49" s="26" t="s">
        <v>60</v>
      </c>
      <c r="D49" s="26"/>
      <c r="E49" s="17"/>
      <c r="F49" s="586"/>
      <c r="G49" s="596">
        <f>'Invoer gegevens'!F36</f>
        <v>2</v>
      </c>
      <c r="H49" s="428">
        <f>(H29+H30)*VLOOKUP($G$49,'Tabellen PO-Raad'!$A$15:$C$21,3)</f>
        <v>285.55955999999998</v>
      </c>
      <c r="I49" s="428">
        <f>(I29+I30)*VLOOKUP($G$49,'Tabellen PO-Raad'!$A$15:$C$21,3)</f>
        <v>285.55955999999998</v>
      </c>
      <c r="J49" s="428">
        <f>(J29+J30)*VLOOKUP($G$49,'Tabellen PO-Raad'!$A$15:$C$21,3)</f>
        <v>285.55955999999998</v>
      </c>
      <c r="K49" s="428">
        <f>(K29+K30)*VLOOKUP($G$49,'Tabellen PO-Raad'!$A$15:$C$21,3)</f>
        <v>285.55955999999998</v>
      </c>
      <c r="L49" s="428">
        <f>(L29+L30)*VLOOKUP($G$49,'Tabellen PO-Raad'!$A$15:$C$21,3)</f>
        <v>285.55955999999998</v>
      </c>
      <c r="M49" s="428">
        <f>(M29+M30)*VLOOKUP($G$49,'Tabellen PO-Raad'!$A$15:$C$21,3)</f>
        <v>285.55955999999998</v>
      </c>
      <c r="N49" s="428">
        <f>(N29+N30)*VLOOKUP($G$49,'Tabellen PO-Raad'!$A$15:$C$21,3)</f>
        <v>0</v>
      </c>
      <c r="O49" s="428">
        <f>(O29+O30)*VLOOKUP($G$49,'Tabellen PO-Raad'!$A$15:$C$21,3)</f>
        <v>0</v>
      </c>
      <c r="P49" s="428">
        <f>(P29+P30)*VLOOKUP($G$49,'Tabellen PO-Raad'!$A$15:$C$21,3)</f>
        <v>0</v>
      </c>
      <c r="Q49" s="428">
        <f>(Q29+Q30)*VLOOKUP($G$49,'Tabellen PO-Raad'!$A$15:$C$21,3)</f>
        <v>0</v>
      </c>
      <c r="R49" s="309">
        <f t="shared" si="59"/>
        <v>1473.9567425753423</v>
      </c>
      <c r="S49" s="283"/>
      <c r="T49" s="428">
        <f>(T29+T30)*VLOOKUP($G$49,'Tabellen PO-Raad'!$A$15:$C$21,3)</f>
        <v>171.77295999999998</v>
      </c>
      <c r="U49" s="428">
        <f>(U29+U30)*VLOOKUP($G$49,'Tabellen PO-Raad'!$A$15:$C$21,3)</f>
        <v>179.99025999999998</v>
      </c>
      <c r="V49" s="428">
        <f>(V29+V30)*VLOOKUP($G$49,'Tabellen PO-Raad'!$A$15:$C$21,3)</f>
        <v>179.99025999999998</v>
      </c>
      <c r="W49" s="428">
        <f>(W29+W30)*VLOOKUP($G$49,'Tabellen PO-Raad'!$A$15:$C$21,3)</f>
        <v>179.99025999999998</v>
      </c>
      <c r="X49" s="428">
        <f>(X29+X30)*VLOOKUP($G$49,'Tabellen PO-Raad'!$A$15:$C$21,3)</f>
        <v>179.99025999999998</v>
      </c>
      <c r="Y49" s="428">
        <f>(Y29+Y30)*VLOOKUP($G$49,'Tabellen PO-Raad'!$A$15:$C$21,3)</f>
        <v>179.99025999999998</v>
      </c>
      <c r="Z49" s="428">
        <f>(Z29+Z30)*VLOOKUP($G$49,'Tabellen PO-Raad'!$A$15:$C$21,3)</f>
        <v>0</v>
      </c>
      <c r="AA49" s="428">
        <f>(AA29+AA30)*VLOOKUP($G$49,'Tabellen PO-Raad'!$A$15:$C$21,3)</f>
        <v>0</v>
      </c>
      <c r="AB49" s="428">
        <f>(AB29+AB30)*VLOOKUP($G$49,'Tabellen PO-Raad'!$A$15:$C$21,3)</f>
        <v>0</v>
      </c>
      <c r="AC49" s="428">
        <f>(AC29+AC30)*VLOOKUP($G$49,'Tabellen PO-Raad'!$A$15:$C$21,3)</f>
        <v>109.18198093150684</v>
      </c>
      <c r="AD49" s="309">
        <f t="shared" si="68"/>
        <v>920.82831599999997</v>
      </c>
      <c r="AE49" s="283"/>
      <c r="AF49" s="307">
        <f>H49*12</f>
        <v>3426.7147199999999</v>
      </c>
      <c r="AG49" s="307">
        <f t="shared" ref="AG49:AO49" si="105">I49*12</f>
        <v>3426.7147199999999</v>
      </c>
      <c r="AH49" s="307">
        <f t="shared" si="105"/>
        <v>3426.7147199999999</v>
      </c>
      <c r="AI49" s="307">
        <f t="shared" si="105"/>
        <v>3426.7147199999999</v>
      </c>
      <c r="AJ49" s="307">
        <f t="shared" si="105"/>
        <v>3426.7147199999999</v>
      </c>
      <c r="AK49" s="307">
        <f t="shared" si="105"/>
        <v>3426.7147199999999</v>
      </c>
      <c r="AL49" s="307">
        <f t="shared" si="105"/>
        <v>0</v>
      </c>
      <c r="AM49" s="307">
        <f t="shared" si="105"/>
        <v>0</v>
      </c>
      <c r="AN49" s="307">
        <f t="shared" si="105"/>
        <v>0</v>
      </c>
      <c r="AO49" s="307">
        <f t="shared" si="105"/>
        <v>0</v>
      </c>
      <c r="AP49" s="309">
        <f t="shared" si="79"/>
        <v>17687.480910904109</v>
      </c>
      <c r="AQ49" s="283"/>
      <c r="AR49" s="307">
        <f>T49*12</f>
        <v>2061.2755199999997</v>
      </c>
      <c r="AS49" s="307">
        <f t="shared" ref="AS49:BA49" si="106">U49*12</f>
        <v>2159.8831199999995</v>
      </c>
      <c r="AT49" s="307">
        <f t="shared" si="106"/>
        <v>2159.8831199999995</v>
      </c>
      <c r="AU49" s="307">
        <f t="shared" si="106"/>
        <v>2159.8831199999995</v>
      </c>
      <c r="AV49" s="307">
        <f t="shared" si="106"/>
        <v>2159.8831199999995</v>
      </c>
      <c r="AW49" s="307">
        <f t="shared" si="106"/>
        <v>2159.8831199999995</v>
      </c>
      <c r="AX49" s="307">
        <f t="shared" si="106"/>
        <v>0</v>
      </c>
      <c r="AY49" s="307">
        <f t="shared" si="106"/>
        <v>0</v>
      </c>
      <c r="AZ49" s="307">
        <f t="shared" si="106"/>
        <v>0</v>
      </c>
      <c r="BA49" s="307">
        <f t="shared" si="106"/>
        <v>1310.1837711780822</v>
      </c>
      <c r="BB49" s="307">
        <f>AD49*12</f>
        <v>11049.939791999999</v>
      </c>
      <c r="BC49" s="11"/>
      <c r="BF49" s="32"/>
      <c r="BG49" s="32"/>
      <c r="BH49" s="32"/>
    </row>
    <row r="50" spans="1:60" s="16" customFormat="1" ht="12.95" customHeight="1" thickTop="1" thickBot="1" x14ac:dyDescent="0.25">
      <c r="B50" s="26"/>
      <c r="C50" s="26" t="s">
        <v>194</v>
      </c>
      <c r="D50" s="26"/>
      <c r="E50" s="17"/>
      <c r="F50" s="586"/>
      <c r="G50" s="597"/>
      <c r="H50" s="494">
        <v>0</v>
      </c>
      <c r="I50" s="426">
        <v>0</v>
      </c>
      <c r="J50" s="426">
        <v>0</v>
      </c>
      <c r="K50" s="426">
        <v>0</v>
      </c>
      <c r="L50" s="426">
        <v>0</v>
      </c>
      <c r="M50" s="426">
        <v>0</v>
      </c>
      <c r="N50" s="426">
        <v>0</v>
      </c>
      <c r="O50" s="426">
        <v>0</v>
      </c>
      <c r="P50" s="426">
        <v>0</v>
      </c>
      <c r="Q50" s="426">
        <v>0</v>
      </c>
      <c r="R50" s="307">
        <f t="shared" si="59"/>
        <v>0</v>
      </c>
      <c r="S50" s="283"/>
      <c r="T50" s="307">
        <v>0</v>
      </c>
      <c r="U50" s="307">
        <v>0</v>
      </c>
      <c r="V50" s="307">
        <v>0</v>
      </c>
      <c r="W50" s="307">
        <v>0</v>
      </c>
      <c r="X50" s="307">
        <v>0</v>
      </c>
      <c r="Y50" s="307">
        <v>0</v>
      </c>
      <c r="Z50" s="307">
        <v>0</v>
      </c>
      <c r="AA50" s="307">
        <v>0</v>
      </c>
      <c r="AB50" s="307">
        <v>0</v>
      </c>
      <c r="AC50" s="307">
        <v>0</v>
      </c>
      <c r="AD50" s="307">
        <f t="shared" si="68"/>
        <v>0</v>
      </c>
      <c r="AE50" s="283"/>
      <c r="AF50" s="307">
        <f>H50*12</f>
        <v>0</v>
      </c>
      <c r="AG50" s="307">
        <f t="shared" ref="AG50:AO50" si="107">I50*12</f>
        <v>0</v>
      </c>
      <c r="AH50" s="307">
        <f t="shared" si="107"/>
        <v>0</v>
      </c>
      <c r="AI50" s="307">
        <f t="shared" si="107"/>
        <v>0</v>
      </c>
      <c r="AJ50" s="307">
        <f t="shared" si="107"/>
        <v>0</v>
      </c>
      <c r="AK50" s="307">
        <f t="shared" si="107"/>
        <v>0</v>
      </c>
      <c r="AL50" s="307">
        <f t="shared" si="107"/>
        <v>0</v>
      </c>
      <c r="AM50" s="307">
        <f t="shared" si="107"/>
        <v>0</v>
      </c>
      <c r="AN50" s="307">
        <f t="shared" si="107"/>
        <v>0</v>
      </c>
      <c r="AO50" s="307">
        <f t="shared" si="107"/>
        <v>0</v>
      </c>
      <c r="AP50" s="307">
        <f t="shared" si="79"/>
        <v>0</v>
      </c>
      <c r="AQ50" s="283"/>
      <c r="AR50" s="307">
        <f t="shared" ref="AR50" si="108">T50*12</f>
        <v>0</v>
      </c>
      <c r="AS50" s="307">
        <f t="shared" ref="AS50:BA50" si="109">U50*12</f>
        <v>0</v>
      </c>
      <c r="AT50" s="307">
        <f t="shared" si="109"/>
        <v>0</v>
      </c>
      <c r="AU50" s="307">
        <f t="shared" si="109"/>
        <v>0</v>
      </c>
      <c r="AV50" s="307">
        <f t="shared" si="109"/>
        <v>0</v>
      </c>
      <c r="AW50" s="307">
        <f t="shared" si="109"/>
        <v>0</v>
      </c>
      <c r="AX50" s="307">
        <f t="shared" si="109"/>
        <v>0</v>
      </c>
      <c r="AY50" s="307">
        <f t="shared" si="109"/>
        <v>0</v>
      </c>
      <c r="AZ50" s="307">
        <f t="shared" si="109"/>
        <v>0</v>
      </c>
      <c r="BA50" s="307">
        <f t="shared" si="109"/>
        <v>0</v>
      </c>
      <c r="BB50" s="307">
        <f t="shared" si="89"/>
        <v>0</v>
      </c>
      <c r="BC50" s="11"/>
      <c r="BF50" s="32"/>
      <c r="BG50" s="32"/>
      <c r="BH50" s="32"/>
    </row>
    <row r="51" spans="1:60" s="16" customFormat="1" ht="12.95" customHeight="1" thickTop="1" thickBot="1" x14ac:dyDescent="0.25">
      <c r="B51" s="26"/>
      <c r="C51" s="26" t="s">
        <v>50</v>
      </c>
      <c r="D51" s="26"/>
      <c r="E51" s="17"/>
      <c r="F51" s="586"/>
      <c r="G51" s="587"/>
      <c r="H51" s="493">
        <f>(H29+H30)*'Tabellen PO-Raad'!$C$22</f>
        <v>59.768279999999997</v>
      </c>
      <c r="I51" s="307">
        <f>IF(I$21&lt;&gt;"[leeg]",(I29+I30)*'Tabellen PO-Raad'!$C$22,0)</f>
        <v>59.768279999999997</v>
      </c>
      <c r="J51" s="307">
        <f>IF(J$21&lt;&gt;"[leeg]",(J29+J30)*'Tabellen PO-Raad'!$C$22,0)</f>
        <v>59.768279999999997</v>
      </c>
      <c r="K51" s="307">
        <f>IF(K$21&lt;&gt;"[leeg]",(K29+K30)*'Tabellen PO-Raad'!$C$22,0)</f>
        <v>59.768279999999997</v>
      </c>
      <c r="L51" s="307">
        <f>IF(L$21&lt;&gt;"[leeg]",(L29+L30)*'Tabellen PO-Raad'!$C$22,0)</f>
        <v>59.768279999999997</v>
      </c>
      <c r="M51" s="307">
        <f>IF(M$21&lt;&gt;"[leeg]",(M29+M30)*'Tabellen PO-Raad'!$C$22,0)</f>
        <v>59.768279999999997</v>
      </c>
      <c r="N51" s="307">
        <f>IF(N$21&lt;&gt;"[leeg]",(N29+N30)*'Tabellen PO-Raad'!$C$22,0)</f>
        <v>0</v>
      </c>
      <c r="O51" s="307">
        <f>IF(O$21&lt;&gt;"[leeg]",(O29+O30)*'Tabellen PO-Raad'!$C$22,0)</f>
        <v>0</v>
      </c>
      <c r="P51" s="307">
        <f>IF(P$21&lt;&gt;"[leeg]",(P29+P30)*'Tabellen PO-Raad'!$C$22,0)</f>
        <v>0</v>
      </c>
      <c r="Q51" s="307">
        <f>IF(Q$21&lt;&gt;"[leeg]",(Q29+Q30)*'Tabellen PO-Raad'!$C$22,0)</f>
        <v>0</v>
      </c>
      <c r="R51" s="307">
        <f t="shared" si="59"/>
        <v>308.5025740273972</v>
      </c>
      <c r="S51" s="283"/>
      <c r="T51" s="307">
        <f>(T29+T30)*'Tabellen PO-Raad'!$C$22</f>
        <v>35.952479999999994</v>
      </c>
      <c r="U51" s="307">
        <f>IF(U$21&lt;&gt;"[leeg]",(T29+T30)*'Tabellen PO-Raad'!$C$22,0)</f>
        <v>35.952479999999994</v>
      </c>
      <c r="V51" s="307">
        <f>IF(V$21&lt;&gt;"[leeg]",(U29+U30)*'Tabellen PO-Raad'!$C$22,0)</f>
        <v>37.672379999999997</v>
      </c>
      <c r="W51" s="307">
        <f>IF(W$21&lt;&gt;"[leeg]",(V29+V30)*'Tabellen PO-Raad'!$C$22,0)</f>
        <v>37.672379999999997</v>
      </c>
      <c r="X51" s="307">
        <f>IF(X$21&lt;&gt;"[leeg]",(W29+W30)*'Tabellen PO-Raad'!$C$22,0)</f>
        <v>37.672379999999997</v>
      </c>
      <c r="Y51" s="307">
        <f>IF(Y$21&lt;&gt;"[leeg]",(X29+X30)*'Tabellen PO-Raad'!$C$22,0)</f>
        <v>37.672379999999997</v>
      </c>
      <c r="Z51" s="307">
        <f>IF(Z$21&lt;&gt;"[leeg]",(Y29+Y30)*'Tabellen PO-Raad'!$C$22,0)</f>
        <v>0</v>
      </c>
      <c r="AA51" s="307">
        <f>IF(AA$21&lt;&gt;"[leeg]",(Z29+Z30)*'Tabellen PO-Raad'!$C$22,0)</f>
        <v>0</v>
      </c>
      <c r="AB51" s="307">
        <f>IF(AB$21&lt;&gt;"[leeg]",(AA29+AA30)*'Tabellen PO-Raad'!$C$22,0)</f>
        <v>0</v>
      </c>
      <c r="AC51" s="307">
        <f>IF(AC$21&lt;&gt;"[leeg]",(AB29+AB30)*'Tabellen PO-Raad'!$C$22,0)</f>
        <v>0</v>
      </c>
      <c r="AD51" s="307">
        <f t="shared" si="68"/>
        <v>191.011608</v>
      </c>
      <c r="AE51" s="283"/>
      <c r="AF51" s="307">
        <f>H51*12</f>
        <v>717.21935999999994</v>
      </c>
      <c r="AG51" s="307">
        <f t="shared" ref="AG51:AO51" si="110">I51*12</f>
        <v>717.21935999999994</v>
      </c>
      <c r="AH51" s="307">
        <f t="shared" si="110"/>
        <v>717.21935999999994</v>
      </c>
      <c r="AI51" s="307">
        <f t="shared" si="110"/>
        <v>717.21935999999994</v>
      </c>
      <c r="AJ51" s="307">
        <f t="shared" si="110"/>
        <v>717.21935999999994</v>
      </c>
      <c r="AK51" s="307">
        <f t="shared" si="110"/>
        <v>717.21935999999994</v>
      </c>
      <c r="AL51" s="307">
        <f t="shared" si="110"/>
        <v>0</v>
      </c>
      <c r="AM51" s="307">
        <f t="shared" si="110"/>
        <v>0</v>
      </c>
      <c r="AN51" s="307">
        <f t="shared" si="110"/>
        <v>0</v>
      </c>
      <c r="AO51" s="307">
        <f t="shared" si="110"/>
        <v>0</v>
      </c>
      <c r="AP51" s="307">
        <f t="shared" si="79"/>
        <v>3702.0308883287671</v>
      </c>
      <c r="AQ51" s="283"/>
      <c r="AR51" s="307">
        <f>T51*12</f>
        <v>431.42975999999993</v>
      </c>
      <c r="AS51" s="307">
        <f t="shared" ref="AS51:BA51" si="111">U51*12</f>
        <v>431.42975999999993</v>
      </c>
      <c r="AT51" s="307">
        <f t="shared" si="111"/>
        <v>452.06855999999993</v>
      </c>
      <c r="AU51" s="307">
        <f t="shared" si="111"/>
        <v>452.06855999999993</v>
      </c>
      <c r="AV51" s="307">
        <f t="shared" si="111"/>
        <v>452.06855999999993</v>
      </c>
      <c r="AW51" s="307">
        <f t="shared" si="111"/>
        <v>452.06855999999993</v>
      </c>
      <c r="AX51" s="307">
        <f t="shared" si="111"/>
        <v>0</v>
      </c>
      <c r="AY51" s="307">
        <f t="shared" si="111"/>
        <v>0</v>
      </c>
      <c r="AZ51" s="307">
        <f t="shared" si="111"/>
        <v>0</v>
      </c>
      <c r="BA51" s="307">
        <f t="shared" si="111"/>
        <v>0</v>
      </c>
      <c r="BB51" s="307">
        <f t="shared" si="89"/>
        <v>2292.1392959999994</v>
      </c>
      <c r="BC51" s="11"/>
      <c r="BF51" s="32"/>
      <c r="BG51" s="32"/>
      <c r="BH51" s="32"/>
    </row>
    <row r="52" spans="1:60" s="16" customFormat="1" ht="12.95" customHeight="1" collapsed="1" thickTop="1" thickBot="1" x14ac:dyDescent="0.25">
      <c r="B52" s="26"/>
      <c r="C52" s="28" t="s">
        <v>169</v>
      </c>
      <c r="D52" s="28"/>
      <c r="E52" s="82"/>
      <c r="F52" s="586"/>
      <c r="G52" s="587"/>
      <c r="H52" s="304">
        <f>SUM(H49:H51)</f>
        <v>345.32783999999998</v>
      </c>
      <c r="I52" s="309">
        <f t="shared" ref="I52" si="112">SUM(I49:I51)</f>
        <v>345.32783999999998</v>
      </c>
      <c r="J52" s="309">
        <f t="shared" ref="J52" si="113">SUM(J49:J51)</f>
        <v>345.32783999999998</v>
      </c>
      <c r="K52" s="309">
        <f t="shared" ref="K52" si="114">SUM(K49:K51)</f>
        <v>345.32783999999998</v>
      </c>
      <c r="L52" s="309">
        <f t="shared" ref="L52" si="115">SUM(L49:L51)</f>
        <v>345.32783999999998</v>
      </c>
      <c r="M52" s="309">
        <f t="shared" ref="M52" si="116">SUM(M49:M51)</f>
        <v>345.32783999999998</v>
      </c>
      <c r="N52" s="309">
        <f t="shared" ref="N52" si="117">SUM(N49:N51)</f>
        <v>0</v>
      </c>
      <c r="O52" s="309">
        <f t="shared" ref="O52" si="118">SUM(O49:O51)</f>
        <v>0</v>
      </c>
      <c r="P52" s="309">
        <f t="shared" ref="P52" si="119">SUM(P49:P51)</f>
        <v>0</v>
      </c>
      <c r="Q52" s="309">
        <f t="shared" ref="Q52" si="120">SUM(Q49:Q51)</f>
        <v>0</v>
      </c>
      <c r="R52" s="309">
        <f t="shared" si="59"/>
        <v>1782.4593166027396</v>
      </c>
      <c r="S52" s="283"/>
      <c r="T52" s="309">
        <f>SUM(T49:T51)</f>
        <v>207.72543999999999</v>
      </c>
      <c r="U52" s="309">
        <f>SUM(U49:U51)</f>
        <v>215.94273999999996</v>
      </c>
      <c r="V52" s="309">
        <f t="shared" ref="V52:AC52" si="121">SUM(V49:V51)</f>
        <v>217.66263999999998</v>
      </c>
      <c r="W52" s="309">
        <f t="shared" si="121"/>
        <v>217.66263999999998</v>
      </c>
      <c r="X52" s="309">
        <f t="shared" si="121"/>
        <v>217.66263999999998</v>
      </c>
      <c r="Y52" s="309">
        <f t="shared" si="121"/>
        <v>217.66263999999998</v>
      </c>
      <c r="Z52" s="309">
        <f t="shared" si="121"/>
        <v>0</v>
      </c>
      <c r="AA52" s="309">
        <f t="shared" si="121"/>
        <v>0</v>
      </c>
      <c r="AB52" s="309">
        <f t="shared" si="121"/>
        <v>0</v>
      </c>
      <c r="AC52" s="309">
        <f t="shared" si="121"/>
        <v>109.18198093150684</v>
      </c>
      <c r="AD52" s="309">
        <f t="shared" si="68"/>
        <v>1111.8399239999999</v>
      </c>
      <c r="AE52" s="283"/>
      <c r="AF52" s="309">
        <f>SUM(AF49:AF51)</f>
        <v>4143.93408</v>
      </c>
      <c r="AG52" s="309">
        <f>SUM(AG49:AG51)</f>
        <v>4143.93408</v>
      </c>
      <c r="AH52" s="309">
        <f t="shared" ref="AH52:AO52" si="122">SUM(AH49:AH51)</f>
        <v>4143.93408</v>
      </c>
      <c r="AI52" s="309">
        <f t="shared" si="122"/>
        <v>4143.93408</v>
      </c>
      <c r="AJ52" s="309">
        <f t="shared" si="122"/>
        <v>4143.93408</v>
      </c>
      <c r="AK52" s="309">
        <f t="shared" si="122"/>
        <v>4143.93408</v>
      </c>
      <c r="AL52" s="309">
        <f t="shared" si="122"/>
        <v>0</v>
      </c>
      <c r="AM52" s="309">
        <f t="shared" si="122"/>
        <v>0</v>
      </c>
      <c r="AN52" s="309">
        <f t="shared" si="122"/>
        <v>0</v>
      </c>
      <c r="AO52" s="309">
        <f t="shared" si="122"/>
        <v>0</v>
      </c>
      <c r="AP52" s="309">
        <f t="shared" si="79"/>
        <v>21389.511799232874</v>
      </c>
      <c r="AQ52" s="283"/>
      <c r="AR52" s="309">
        <f>SUM(AR49:AR51)</f>
        <v>2492.7052799999997</v>
      </c>
      <c r="AS52" s="309">
        <f t="shared" ref="AS52:BA52" si="123">SUM(AS49:AS51)</f>
        <v>2591.3128799999995</v>
      </c>
      <c r="AT52" s="309">
        <f t="shared" si="123"/>
        <v>2611.9516799999992</v>
      </c>
      <c r="AU52" s="309">
        <f t="shared" si="123"/>
        <v>2611.9516799999992</v>
      </c>
      <c r="AV52" s="309">
        <f t="shared" si="123"/>
        <v>2611.9516799999992</v>
      </c>
      <c r="AW52" s="309">
        <f t="shared" si="123"/>
        <v>2611.9516799999992</v>
      </c>
      <c r="AX52" s="309">
        <f t="shared" si="123"/>
        <v>0</v>
      </c>
      <c r="AY52" s="309">
        <f t="shared" si="123"/>
        <v>0</v>
      </c>
      <c r="AZ52" s="309">
        <f t="shared" si="123"/>
        <v>0</v>
      </c>
      <c r="BA52" s="309">
        <f t="shared" si="123"/>
        <v>1310.1837711780822</v>
      </c>
      <c r="BB52" s="309">
        <f t="shared" si="89"/>
        <v>13342.079087999999</v>
      </c>
      <c r="BC52" s="11"/>
      <c r="BF52" s="32"/>
      <c r="BG52" s="32"/>
      <c r="BH52" s="32"/>
    </row>
    <row r="53" spans="1:60" s="16" customFormat="1" ht="12.95" customHeight="1" thickTop="1" thickBot="1" x14ac:dyDescent="0.25">
      <c r="B53" s="26"/>
      <c r="C53" s="28" t="s">
        <v>288</v>
      </c>
      <c r="D53" s="28"/>
      <c r="E53" s="82"/>
      <c r="F53" s="586"/>
      <c r="G53" s="587"/>
      <c r="H53" s="304">
        <f>H48+H52</f>
        <v>2543.17103</v>
      </c>
      <c r="I53" s="309">
        <f t="shared" ref="I53:Q53" si="124">I48+I52</f>
        <v>2543.17103</v>
      </c>
      <c r="J53" s="309">
        <f t="shared" si="124"/>
        <v>2543.17103</v>
      </c>
      <c r="K53" s="309">
        <f t="shared" si="124"/>
        <v>2543.17103</v>
      </c>
      <c r="L53" s="309">
        <f t="shared" si="124"/>
        <v>2543.17103</v>
      </c>
      <c r="M53" s="309">
        <f t="shared" si="124"/>
        <v>2543.17103</v>
      </c>
      <c r="N53" s="309">
        <f t="shared" si="124"/>
        <v>0</v>
      </c>
      <c r="O53" s="309">
        <f t="shared" si="124"/>
        <v>0</v>
      </c>
      <c r="P53" s="309">
        <f t="shared" si="124"/>
        <v>0</v>
      </c>
      <c r="Q53" s="309">
        <f t="shared" si="124"/>
        <v>0</v>
      </c>
      <c r="R53" s="309">
        <f t="shared" si="59"/>
        <v>13126.943069917808</v>
      </c>
      <c r="S53" s="283"/>
      <c r="T53" s="309">
        <f>T48+T52</f>
        <v>2405.5686300000002</v>
      </c>
      <c r="U53" s="309">
        <f t="shared" ref="U53" si="125">U48+U52</f>
        <v>2413.78593</v>
      </c>
      <c r="V53" s="309">
        <f t="shared" ref="V53" si="126">V48+V52</f>
        <v>2415.5058300000001</v>
      </c>
      <c r="W53" s="309">
        <f t="shared" ref="W53" si="127">W48+W52</f>
        <v>2415.5058300000001</v>
      </c>
      <c r="X53" s="309">
        <f t="shared" ref="X53" si="128">X48+X52</f>
        <v>2415.5058300000001</v>
      </c>
      <c r="Y53" s="309">
        <f t="shared" ref="Y53" si="129">Y48+Y52</f>
        <v>2415.5058300000001</v>
      </c>
      <c r="Z53" s="309">
        <f t="shared" ref="Z53" si="130">Z48+Z52</f>
        <v>0</v>
      </c>
      <c r="AA53" s="309">
        <f t="shared" ref="AA53" si="131">AA48+AA52</f>
        <v>0</v>
      </c>
      <c r="AB53" s="309">
        <f t="shared" ref="AB53" si="132">AB48+AB52</f>
        <v>0</v>
      </c>
      <c r="AC53" s="309">
        <f t="shared" ref="AC53" si="133">AC48+AC52</f>
        <v>109.18198093150684</v>
      </c>
      <c r="AD53" s="309">
        <f t="shared" ref="AD53" si="134">AD48+AD52</f>
        <v>12456.323677315067</v>
      </c>
      <c r="AE53" s="283"/>
      <c r="AF53" s="309">
        <f>AF48+AF52</f>
        <v>30518.052360000001</v>
      </c>
      <c r="AG53" s="309">
        <f t="shared" ref="AG53" si="135">AG48+AG52</f>
        <v>30518.052360000001</v>
      </c>
      <c r="AH53" s="309">
        <f t="shared" ref="AH53" si="136">AH48+AH52</f>
        <v>30518.052360000001</v>
      </c>
      <c r="AI53" s="309">
        <f t="shared" ref="AI53" si="137">AI48+AI52</f>
        <v>30518.052360000001</v>
      </c>
      <c r="AJ53" s="309">
        <f t="shared" ref="AJ53" si="138">AJ48+AJ52</f>
        <v>30518.052360000001</v>
      </c>
      <c r="AK53" s="309">
        <f t="shared" ref="AK53" si="139">AK48+AK52</f>
        <v>30518.052360000001</v>
      </c>
      <c r="AL53" s="309">
        <f t="shared" ref="AL53" si="140">AL48+AL52</f>
        <v>0</v>
      </c>
      <c r="AM53" s="309">
        <f t="shared" ref="AM53" si="141">AM48+AM52</f>
        <v>0</v>
      </c>
      <c r="AN53" s="309">
        <f t="shared" ref="AN53" si="142">AN48+AN52</f>
        <v>0</v>
      </c>
      <c r="AO53" s="309">
        <f t="shared" ref="AO53" si="143">AO48+AO52</f>
        <v>0</v>
      </c>
      <c r="AP53" s="309">
        <f t="shared" ref="AP53" si="144">AP48+AP52</f>
        <v>157523.31683901371</v>
      </c>
      <c r="AQ53" s="283"/>
      <c r="AR53" s="309">
        <f>AR48+AR52</f>
        <v>28866.823560000001</v>
      </c>
      <c r="AS53" s="309">
        <f t="shared" ref="AS53" si="145">AS48+AS52</f>
        <v>28965.43116</v>
      </c>
      <c r="AT53" s="309">
        <f t="shared" ref="AT53" si="146">AT48+AT52</f>
        <v>28986.069960000001</v>
      </c>
      <c r="AU53" s="309">
        <f t="shared" ref="AU53" si="147">AU48+AU52</f>
        <v>28986.069960000001</v>
      </c>
      <c r="AV53" s="309">
        <f t="shared" ref="AV53" si="148">AV48+AV52</f>
        <v>28986.069960000001</v>
      </c>
      <c r="AW53" s="309">
        <f t="shared" ref="AW53" si="149">AW48+AW52</f>
        <v>28986.069960000001</v>
      </c>
      <c r="AX53" s="309">
        <f t="shared" ref="AX53" si="150">AX48+AX52</f>
        <v>0</v>
      </c>
      <c r="AY53" s="309">
        <f t="shared" ref="AY53" si="151">AY48+AY52</f>
        <v>0</v>
      </c>
      <c r="AZ53" s="309">
        <f t="shared" ref="AZ53" si="152">AZ48+AZ52</f>
        <v>0</v>
      </c>
      <c r="BA53" s="309">
        <f t="shared" ref="BA53" si="153">BA48+BA52</f>
        <v>1310.1837711780822</v>
      </c>
      <c r="BB53" s="309">
        <f t="shared" ref="BB53" si="154">BB48+BB52</f>
        <v>149475.88412778082</v>
      </c>
      <c r="BC53" s="11"/>
      <c r="BF53" s="32"/>
      <c r="BG53" s="32"/>
      <c r="BH53" s="32"/>
    </row>
    <row r="54" spans="1:60" s="16" customFormat="1" ht="12.95" customHeight="1" thickTop="1" thickBot="1" x14ac:dyDescent="0.25">
      <c r="B54" s="26"/>
      <c r="C54" s="28"/>
      <c r="D54" s="28"/>
      <c r="E54" s="82"/>
      <c r="F54" s="586"/>
      <c r="G54" s="587"/>
      <c r="H54" s="483"/>
      <c r="I54" s="287"/>
      <c r="J54" s="287"/>
      <c r="K54" s="287"/>
      <c r="L54" s="287"/>
      <c r="M54" s="287"/>
      <c r="N54" s="287"/>
      <c r="O54" s="287"/>
      <c r="P54" s="287"/>
      <c r="Q54" s="287"/>
      <c r="R54" s="287"/>
      <c r="S54" s="283"/>
      <c r="T54" s="287"/>
      <c r="U54" s="287"/>
      <c r="V54" s="287"/>
      <c r="W54" s="287"/>
      <c r="X54" s="287"/>
      <c r="Y54" s="287"/>
      <c r="Z54" s="287"/>
      <c r="AA54" s="287"/>
      <c r="AB54" s="287"/>
      <c r="AC54" s="287"/>
      <c r="AD54" s="287"/>
      <c r="AE54" s="283"/>
      <c r="AF54" s="287"/>
      <c r="AG54" s="287"/>
      <c r="AH54" s="287"/>
      <c r="AI54" s="287"/>
      <c r="AJ54" s="287"/>
      <c r="AK54" s="287"/>
      <c r="AL54" s="287"/>
      <c r="AM54" s="287"/>
      <c r="AN54" s="287"/>
      <c r="AO54" s="287"/>
      <c r="AP54" s="287"/>
      <c r="AQ54" s="283"/>
      <c r="AR54" s="287"/>
      <c r="AS54" s="287"/>
      <c r="AT54" s="287"/>
      <c r="AU54" s="287"/>
      <c r="AV54" s="287"/>
      <c r="AW54" s="287"/>
      <c r="AX54" s="287"/>
      <c r="AY54" s="287"/>
      <c r="AZ54" s="287"/>
      <c r="BA54" s="287"/>
      <c r="BB54" s="287"/>
      <c r="BC54" s="11"/>
      <c r="BF54" s="32"/>
      <c r="BG54" s="32"/>
      <c r="BH54" s="32"/>
    </row>
    <row r="55" spans="1:60" ht="13.5" customHeight="1" thickTop="1" thickBot="1" x14ac:dyDescent="0.25">
      <c r="B55" s="26"/>
      <c r="C55" s="28" t="s">
        <v>116</v>
      </c>
      <c r="D55" s="28"/>
      <c r="E55" s="79"/>
      <c r="F55" s="591"/>
      <c r="G55" s="598"/>
      <c r="H55" s="495">
        <f>H37++H53</f>
        <v>10052.971030000001</v>
      </c>
      <c r="I55" s="311">
        <f t="shared" ref="I55:Q55" si="155">I37++I53</f>
        <v>10052.971030000001</v>
      </c>
      <c r="J55" s="311">
        <f t="shared" si="155"/>
        <v>10052.971030000001</v>
      </c>
      <c r="K55" s="311">
        <f t="shared" si="155"/>
        <v>10052.971030000001</v>
      </c>
      <c r="L55" s="311">
        <f t="shared" si="155"/>
        <v>10052.971030000001</v>
      </c>
      <c r="M55" s="311">
        <f t="shared" si="155"/>
        <v>10052.971030000001</v>
      </c>
      <c r="N55" s="311">
        <f t="shared" si="155"/>
        <v>0</v>
      </c>
      <c r="O55" s="311">
        <f t="shared" si="155"/>
        <v>0</v>
      </c>
      <c r="P55" s="311">
        <f t="shared" si="155"/>
        <v>0</v>
      </c>
      <c r="Q55" s="311">
        <f t="shared" si="155"/>
        <v>0</v>
      </c>
      <c r="R55" s="309">
        <f t="shared" si="59"/>
        <v>51889.855946630138</v>
      </c>
      <c r="S55" s="283"/>
      <c r="T55" s="311">
        <f t="shared" ref="T55:AD55" si="156">T37++T53</f>
        <v>7200.8336299999992</v>
      </c>
      <c r="U55" s="311">
        <f t="shared" si="156"/>
        <v>7180.1509299999998</v>
      </c>
      <c r="V55" s="311">
        <f t="shared" si="156"/>
        <v>7181.8708299999998</v>
      </c>
      <c r="W55" s="311">
        <f t="shared" si="156"/>
        <v>7181.8708299999998</v>
      </c>
      <c r="X55" s="311">
        <f t="shared" si="156"/>
        <v>7181.8708299999998</v>
      </c>
      <c r="Y55" s="311">
        <f t="shared" si="156"/>
        <v>7181.8708299999998</v>
      </c>
      <c r="Z55" s="311">
        <f t="shared" si="156"/>
        <v>0</v>
      </c>
      <c r="AA55" s="311">
        <f t="shared" si="156"/>
        <v>0</v>
      </c>
      <c r="AB55" s="311">
        <f t="shared" si="156"/>
        <v>0</v>
      </c>
      <c r="AC55" s="311">
        <f t="shared" si="156"/>
        <v>2648.2978165479453</v>
      </c>
      <c r="AD55" s="311">
        <f t="shared" si="156"/>
        <v>37087.50219786301</v>
      </c>
      <c r="AE55" s="283"/>
      <c r="AF55" s="311">
        <f t="shared" ref="AF55:AP55" si="157">AF37++AF53</f>
        <v>120635.65236000001</v>
      </c>
      <c r="AG55" s="311">
        <f t="shared" si="157"/>
        <v>120635.65236000001</v>
      </c>
      <c r="AH55" s="311">
        <f t="shared" si="157"/>
        <v>120635.65236000001</v>
      </c>
      <c r="AI55" s="311">
        <f t="shared" si="157"/>
        <v>120635.65236000001</v>
      </c>
      <c r="AJ55" s="311">
        <f t="shared" si="157"/>
        <v>120635.65236000001</v>
      </c>
      <c r="AK55" s="311">
        <f t="shared" si="157"/>
        <v>120635.65236000001</v>
      </c>
      <c r="AL55" s="311">
        <f t="shared" si="157"/>
        <v>0</v>
      </c>
      <c r="AM55" s="311">
        <f t="shared" si="157"/>
        <v>0</v>
      </c>
      <c r="AN55" s="311">
        <f t="shared" si="157"/>
        <v>0</v>
      </c>
      <c r="AO55" s="311">
        <f t="shared" si="157"/>
        <v>0</v>
      </c>
      <c r="AP55" s="311">
        <f t="shared" si="157"/>
        <v>622678.27135956171</v>
      </c>
      <c r="AQ55" s="283"/>
      <c r="AR55" s="311">
        <f t="shared" ref="AR55:BB55" si="158">AR37++AR53</f>
        <v>86410.003559999997</v>
      </c>
      <c r="AS55" s="311">
        <f t="shared" si="158"/>
        <v>86161.811159999997</v>
      </c>
      <c r="AT55" s="311">
        <f t="shared" si="158"/>
        <v>86182.449959999998</v>
      </c>
      <c r="AU55" s="311">
        <f t="shared" si="158"/>
        <v>86182.449959999998</v>
      </c>
      <c r="AV55" s="311">
        <f t="shared" si="158"/>
        <v>86182.449959999998</v>
      </c>
      <c r="AW55" s="311">
        <f t="shared" si="158"/>
        <v>86182.449959999998</v>
      </c>
      <c r="AX55" s="311">
        <f t="shared" si="158"/>
        <v>0</v>
      </c>
      <c r="AY55" s="311">
        <f t="shared" si="158"/>
        <v>0</v>
      </c>
      <c r="AZ55" s="311">
        <f t="shared" si="158"/>
        <v>0</v>
      </c>
      <c r="BA55" s="311">
        <f t="shared" si="158"/>
        <v>1310.1837711780822</v>
      </c>
      <c r="BB55" s="311">
        <f t="shared" si="158"/>
        <v>445050.02637435612</v>
      </c>
      <c r="BC55" s="90"/>
      <c r="BD55" s="75"/>
      <c r="BE55" s="75"/>
      <c r="BF55" s="75"/>
      <c r="BG55" s="75"/>
      <c r="BH55" s="75"/>
    </row>
    <row r="56" spans="1:60" ht="13.5" customHeight="1" thickTop="1" x14ac:dyDescent="0.2">
      <c r="B56" s="26"/>
      <c r="C56" s="26"/>
      <c r="D56" s="26"/>
      <c r="F56" s="586"/>
      <c r="G56" s="587"/>
      <c r="H56" s="287"/>
      <c r="I56" s="287"/>
      <c r="J56" s="287"/>
      <c r="K56" s="287"/>
      <c r="L56" s="287"/>
      <c r="M56" s="287"/>
      <c r="N56" s="287"/>
      <c r="O56" s="287"/>
      <c r="P56" s="287"/>
      <c r="Q56" s="287"/>
      <c r="R56" s="287"/>
      <c r="S56" s="287"/>
      <c r="T56" s="287"/>
      <c r="U56" s="287"/>
      <c r="V56" s="287"/>
      <c r="W56" s="287"/>
      <c r="X56" s="287"/>
      <c r="Y56" s="287"/>
      <c r="Z56" s="287"/>
      <c r="AA56" s="287"/>
      <c r="AB56" s="287"/>
      <c r="AC56" s="287"/>
      <c r="AD56" s="287"/>
      <c r="AE56" s="283"/>
      <c r="AF56" s="287"/>
      <c r="AG56" s="287"/>
      <c r="AH56" s="287"/>
      <c r="AI56" s="287"/>
      <c r="AJ56" s="287"/>
      <c r="AK56" s="287"/>
      <c r="AL56" s="287"/>
      <c r="AM56" s="287"/>
      <c r="AN56" s="287"/>
      <c r="AO56" s="287"/>
      <c r="AP56" s="287"/>
      <c r="AQ56" s="283"/>
      <c r="AR56" s="287"/>
      <c r="AS56" s="287"/>
      <c r="AT56" s="287"/>
      <c r="AU56" s="287"/>
      <c r="AV56" s="287"/>
      <c r="AW56" s="287"/>
      <c r="AX56" s="287"/>
      <c r="AY56" s="287"/>
      <c r="AZ56" s="287"/>
      <c r="BA56" s="287"/>
      <c r="BB56" s="287"/>
      <c r="BC56" s="90"/>
      <c r="BD56" s="75"/>
      <c r="BE56" s="75"/>
      <c r="BF56" s="75"/>
      <c r="BG56" s="75"/>
      <c r="BH56" s="75"/>
    </row>
    <row r="57" spans="1:60" ht="13.5" customHeight="1" thickBot="1" x14ac:dyDescent="0.25">
      <c r="B57" s="26"/>
      <c r="C57" s="42" t="s">
        <v>154</v>
      </c>
      <c r="D57" s="42"/>
      <c r="F57" s="586"/>
      <c r="G57" s="587"/>
      <c r="H57" s="287"/>
      <c r="I57" s="287"/>
      <c r="J57" s="287"/>
      <c r="K57" s="287"/>
      <c r="L57" s="287"/>
      <c r="M57" s="287"/>
      <c r="N57" s="287"/>
      <c r="O57" s="287"/>
      <c r="P57" s="287"/>
      <c r="Q57" s="287"/>
      <c r="R57" s="287"/>
      <c r="S57" s="287"/>
      <c r="T57" s="282"/>
      <c r="U57" s="282"/>
      <c r="V57" s="282"/>
      <c r="W57" s="282"/>
      <c r="X57" s="282"/>
      <c r="Y57" s="282"/>
      <c r="Z57" s="282"/>
      <c r="AA57" s="282"/>
      <c r="AB57" s="282"/>
      <c r="AC57" s="282"/>
      <c r="AD57" s="282"/>
      <c r="AE57" s="283"/>
      <c r="AF57" s="282"/>
      <c r="AG57" s="282"/>
      <c r="AH57" s="282"/>
      <c r="AI57" s="282"/>
      <c r="AJ57" s="282"/>
      <c r="AK57" s="282"/>
      <c r="AL57" s="282"/>
      <c r="AM57" s="282"/>
      <c r="AN57" s="282"/>
      <c r="AO57" s="282"/>
      <c r="AP57" s="282"/>
      <c r="AQ57" s="283"/>
      <c r="AR57" s="282"/>
      <c r="AS57" s="282"/>
      <c r="AT57" s="282"/>
      <c r="AU57" s="282"/>
      <c r="AV57" s="282"/>
      <c r="AW57" s="282"/>
      <c r="AX57" s="282"/>
      <c r="AY57" s="282"/>
      <c r="AZ57" s="282"/>
      <c r="BA57" s="282"/>
      <c r="BB57" s="282"/>
      <c r="BC57" s="90"/>
      <c r="BD57" s="75"/>
      <c r="BE57" s="75"/>
      <c r="BF57" s="75"/>
      <c r="BG57" s="75"/>
      <c r="BH57" s="75"/>
    </row>
    <row r="58" spans="1:60" ht="13.5" customHeight="1" thickTop="1" thickBot="1" x14ac:dyDescent="0.25">
      <c r="B58" s="26"/>
      <c r="C58" s="28" t="s">
        <v>142</v>
      </c>
      <c r="D58" s="28"/>
      <c r="F58" s="586"/>
      <c r="G58" s="587"/>
      <c r="H58" s="287"/>
      <c r="I58" s="287"/>
      <c r="J58" s="287"/>
      <c r="K58" s="287"/>
      <c r="L58" s="287"/>
      <c r="M58" s="287"/>
      <c r="N58" s="287"/>
      <c r="O58" s="287"/>
      <c r="P58" s="287"/>
      <c r="Q58" s="287"/>
      <c r="R58" s="287"/>
      <c r="S58" s="287"/>
      <c r="T58" s="311">
        <f>T55-H55</f>
        <v>-2852.1374000000014</v>
      </c>
      <c r="U58" s="311">
        <f t="shared" ref="U58:AD58" si="159">U55-I55</f>
        <v>-2872.8201000000008</v>
      </c>
      <c r="V58" s="311">
        <f t="shared" si="159"/>
        <v>-2871.1002000000008</v>
      </c>
      <c r="W58" s="311">
        <f t="shared" si="159"/>
        <v>-2871.1002000000008</v>
      </c>
      <c r="X58" s="311">
        <f t="shared" si="159"/>
        <v>-2871.1002000000008</v>
      </c>
      <c r="Y58" s="311">
        <f t="shared" si="159"/>
        <v>-2871.1002000000008</v>
      </c>
      <c r="Z58" s="311">
        <f t="shared" si="159"/>
        <v>0</v>
      </c>
      <c r="AA58" s="311">
        <f t="shared" si="159"/>
        <v>0</v>
      </c>
      <c r="AB58" s="311">
        <f t="shared" si="159"/>
        <v>0</v>
      </c>
      <c r="AC58" s="311">
        <f t="shared" si="159"/>
        <v>2648.2978165479453</v>
      </c>
      <c r="AD58" s="311">
        <f t="shared" si="159"/>
        <v>-14802.353748767127</v>
      </c>
      <c r="AE58" s="283"/>
      <c r="AF58" s="287"/>
      <c r="AG58" s="287"/>
      <c r="AH58" s="287"/>
      <c r="AI58" s="287"/>
      <c r="AJ58" s="287"/>
      <c r="AK58" s="287"/>
      <c r="AL58" s="287"/>
      <c r="AM58" s="287"/>
      <c r="AN58" s="287"/>
      <c r="AO58" s="287"/>
      <c r="AP58" s="287"/>
      <c r="AQ58" s="283"/>
      <c r="AR58" s="313">
        <f>AR55-AF55</f>
        <v>-34225.64880000001</v>
      </c>
      <c r="AS58" s="313">
        <f t="shared" ref="AS58:BB58" si="160">AS55-AG55</f>
        <v>-34473.84120000001</v>
      </c>
      <c r="AT58" s="313">
        <f t="shared" si="160"/>
        <v>-34453.202400000009</v>
      </c>
      <c r="AU58" s="313">
        <f t="shared" si="160"/>
        <v>-34453.202400000009</v>
      </c>
      <c r="AV58" s="313">
        <f t="shared" si="160"/>
        <v>-34453.202400000009</v>
      </c>
      <c r="AW58" s="313">
        <f t="shared" si="160"/>
        <v>-34453.202400000009</v>
      </c>
      <c r="AX58" s="313">
        <f t="shared" si="160"/>
        <v>0</v>
      </c>
      <c r="AY58" s="313">
        <f t="shared" si="160"/>
        <v>0</v>
      </c>
      <c r="AZ58" s="313">
        <f t="shared" si="160"/>
        <v>0</v>
      </c>
      <c r="BA58" s="313">
        <f t="shared" si="160"/>
        <v>1310.1837711780822</v>
      </c>
      <c r="BB58" s="313">
        <f t="shared" si="160"/>
        <v>-177628.24498520559</v>
      </c>
      <c r="BC58" s="90"/>
      <c r="BD58" s="75"/>
      <c r="BE58" s="75"/>
      <c r="BF58" s="75"/>
      <c r="BG58" s="75"/>
      <c r="BH58" s="75"/>
    </row>
    <row r="59" spans="1:60" ht="13.5" customHeight="1" thickTop="1" x14ac:dyDescent="0.2">
      <c r="B59" s="26"/>
      <c r="C59" s="28"/>
      <c r="D59" s="28"/>
      <c r="F59" s="586"/>
      <c r="G59" s="587"/>
      <c r="H59" s="287"/>
      <c r="I59" s="287"/>
      <c r="J59" s="287"/>
      <c r="K59" s="287"/>
      <c r="L59" s="287"/>
      <c r="M59" s="287"/>
      <c r="N59" s="287"/>
      <c r="O59" s="287"/>
      <c r="P59" s="287"/>
      <c r="Q59" s="287"/>
      <c r="R59" s="287"/>
      <c r="S59" s="287"/>
      <c r="T59" s="314"/>
      <c r="U59" s="314"/>
      <c r="V59" s="314"/>
      <c r="W59" s="314"/>
      <c r="X59" s="314"/>
      <c r="Y59" s="314"/>
      <c r="Z59" s="314"/>
      <c r="AA59" s="314"/>
      <c r="AB59" s="314"/>
      <c r="AC59" s="314"/>
      <c r="AD59" s="314"/>
      <c r="AE59" s="283"/>
      <c r="AF59" s="287"/>
      <c r="AG59" s="287"/>
      <c r="AH59" s="287"/>
      <c r="AI59" s="287"/>
      <c r="AJ59" s="287"/>
      <c r="AK59" s="287"/>
      <c r="AL59" s="287"/>
      <c r="AM59" s="287"/>
      <c r="AN59" s="287"/>
      <c r="AO59" s="287"/>
      <c r="AP59" s="287"/>
      <c r="AQ59" s="283"/>
      <c r="AR59" s="315"/>
      <c r="AS59" s="315"/>
      <c r="AT59" s="315"/>
      <c r="AU59" s="315"/>
      <c r="AV59" s="315"/>
      <c r="AW59" s="315"/>
      <c r="AX59" s="315"/>
      <c r="AY59" s="315"/>
      <c r="AZ59" s="315"/>
      <c r="BA59" s="315"/>
      <c r="BB59" s="315"/>
      <c r="BC59" s="90"/>
      <c r="BD59" s="75"/>
      <c r="BE59" s="75"/>
      <c r="BF59" s="75"/>
      <c r="BG59" s="75"/>
      <c r="BH59" s="75"/>
    </row>
    <row r="60" spans="1:60" ht="13.5" customHeight="1" thickBot="1" x14ac:dyDescent="0.25">
      <c r="B60" s="26"/>
      <c r="C60" s="42" t="s">
        <v>190</v>
      </c>
      <c r="D60" s="42"/>
      <c r="F60" s="586"/>
      <c r="G60" s="587"/>
      <c r="H60" s="287"/>
      <c r="I60" s="287"/>
      <c r="J60" s="287"/>
      <c r="K60" s="287"/>
      <c r="L60" s="287"/>
      <c r="M60" s="287"/>
      <c r="N60" s="287"/>
      <c r="O60" s="287"/>
      <c r="P60" s="287"/>
      <c r="Q60" s="287"/>
      <c r="R60" s="287"/>
      <c r="S60" s="287"/>
      <c r="T60" s="314"/>
      <c r="U60" s="314"/>
      <c r="V60" s="314"/>
      <c r="W60" s="314"/>
      <c r="X60" s="314"/>
      <c r="Y60" s="314"/>
      <c r="Z60" s="314"/>
      <c r="AA60" s="314"/>
      <c r="AB60" s="314"/>
      <c r="AC60" s="314"/>
      <c r="AD60" s="314"/>
      <c r="AE60" s="283"/>
      <c r="AF60" s="287"/>
      <c r="AG60" s="287"/>
      <c r="AH60" s="287"/>
      <c r="AI60" s="287"/>
      <c r="AJ60" s="287"/>
      <c r="AK60" s="287"/>
      <c r="AL60" s="287"/>
      <c r="AM60" s="287"/>
      <c r="AN60" s="287"/>
      <c r="AO60" s="287"/>
      <c r="AP60" s="287"/>
      <c r="AQ60" s="283"/>
      <c r="AR60" s="315"/>
      <c r="AS60" s="315"/>
      <c r="AT60" s="315"/>
      <c r="AU60" s="315"/>
      <c r="AV60" s="315"/>
      <c r="AW60" s="315"/>
      <c r="AX60" s="315"/>
      <c r="AY60" s="315"/>
      <c r="AZ60" s="315"/>
      <c r="BA60" s="315"/>
      <c r="BB60" s="315"/>
      <c r="BC60" s="90"/>
      <c r="BD60" s="75"/>
      <c r="BE60" s="75"/>
      <c r="BF60" s="75"/>
      <c r="BG60" s="75"/>
      <c r="BH60" s="75"/>
    </row>
    <row r="61" spans="1:60" s="79" customFormat="1" ht="13.5" customHeight="1" thickTop="1" thickBot="1" x14ac:dyDescent="0.25">
      <c r="B61" s="28"/>
      <c r="C61" s="28" t="s">
        <v>191</v>
      </c>
      <c r="D61" s="28"/>
      <c r="F61" s="591"/>
      <c r="G61" s="598"/>
      <c r="H61" s="311">
        <f>'Invoer gegevens'!$U$12*'Loonkosten uitgebreid'!H55</f>
        <v>1507.9456545</v>
      </c>
      <c r="I61" s="311">
        <f>'Invoer gegevens'!$U$12*'Loonkosten uitgebreid'!I55</f>
        <v>1507.9456545</v>
      </c>
      <c r="J61" s="311">
        <f>'Invoer gegevens'!$U$12*'Loonkosten uitgebreid'!J55</f>
        <v>1507.9456545</v>
      </c>
      <c r="K61" s="311">
        <f>'Invoer gegevens'!$U$12*'Loonkosten uitgebreid'!K55</f>
        <v>1507.9456545</v>
      </c>
      <c r="L61" s="311">
        <f>'Invoer gegevens'!$U$12*'Loonkosten uitgebreid'!L55</f>
        <v>1507.9456545</v>
      </c>
      <c r="M61" s="311">
        <f>'Invoer gegevens'!$U$12*'Loonkosten uitgebreid'!M55</f>
        <v>1507.9456545</v>
      </c>
      <c r="N61" s="311">
        <f>'Invoer gegevens'!$U$12*'Loonkosten uitgebreid'!N55</f>
        <v>0</v>
      </c>
      <c r="O61" s="311">
        <f>'Invoer gegevens'!$U$12*'Loonkosten uitgebreid'!O55</f>
        <v>0</v>
      </c>
      <c r="P61" s="311">
        <f>'Invoer gegevens'!$U$12*'Loonkosten uitgebreid'!P55</f>
        <v>0</v>
      </c>
      <c r="Q61" s="311">
        <f>'Invoer gegevens'!$U$12*'Loonkosten uitgebreid'!Q55</f>
        <v>0</v>
      </c>
      <c r="R61" s="309">
        <f t="shared" ref="R61" si="161">H61*H$27+I61*I$27+J61*J$27+K61*K$27+L61*L$27+M61*M$27+N61*N$27+O61*O$27+P61*P$27+Q61*Q$27</f>
        <v>7783.4783919945212</v>
      </c>
      <c r="S61" s="305"/>
      <c r="T61" s="311">
        <f>'Invoer gegevens'!$V$12*T55</f>
        <v>576.06669039999997</v>
      </c>
      <c r="U61" s="311">
        <f>'Invoer gegevens'!$V$12*U55</f>
        <v>574.41207440000005</v>
      </c>
      <c r="V61" s="311">
        <f>'Invoer gegevens'!$V$12*V55</f>
        <v>574.54966639999998</v>
      </c>
      <c r="W61" s="311">
        <f>'Invoer gegevens'!$V$12*W55</f>
        <v>574.54966639999998</v>
      </c>
      <c r="X61" s="311">
        <f>'Invoer gegevens'!$V$12*X55</f>
        <v>574.54966639999998</v>
      </c>
      <c r="Y61" s="311">
        <f>'Invoer gegevens'!$V$12*Y55</f>
        <v>574.54966639999998</v>
      </c>
      <c r="Z61" s="311">
        <f>'Invoer gegevens'!$V$12*Z55</f>
        <v>0</v>
      </c>
      <c r="AA61" s="311">
        <f>'Invoer gegevens'!$V$12*AA55</f>
        <v>0</v>
      </c>
      <c r="AB61" s="311">
        <f>'Invoer gegevens'!$V$12*AB55</f>
        <v>0</v>
      </c>
      <c r="AC61" s="311">
        <f>'Invoer gegevens'!$V$12*AC55</f>
        <v>211.86382532383564</v>
      </c>
      <c r="AD61" s="311">
        <f>'Invoer gegevens'!$V$12*AD55</f>
        <v>2967.0001758290409</v>
      </c>
      <c r="AE61" s="316"/>
      <c r="AF61" s="311">
        <f>'Invoer gegevens'!$U12*'Loonkosten uitgebreid'!AF55</f>
        <v>18095.347854</v>
      </c>
      <c r="AG61" s="311">
        <f>'Invoer gegevens'!$U12*'Loonkosten uitgebreid'!AG55</f>
        <v>18095.347854</v>
      </c>
      <c r="AH61" s="311">
        <f>'Invoer gegevens'!$U12*'Loonkosten uitgebreid'!AH55</f>
        <v>18095.347854</v>
      </c>
      <c r="AI61" s="311">
        <f>'Invoer gegevens'!$U12*'Loonkosten uitgebreid'!AI55</f>
        <v>18095.347854</v>
      </c>
      <c r="AJ61" s="311">
        <f>'Invoer gegevens'!$U12*'Loonkosten uitgebreid'!AJ55</f>
        <v>18095.347854</v>
      </c>
      <c r="AK61" s="311">
        <f>'Invoer gegevens'!$U12*'Loonkosten uitgebreid'!AK55</f>
        <v>18095.347854</v>
      </c>
      <c r="AL61" s="311">
        <f>'Invoer gegevens'!$U12*'Loonkosten uitgebreid'!AL55</f>
        <v>0</v>
      </c>
      <c r="AM61" s="311">
        <f>'Invoer gegevens'!$U12*'Loonkosten uitgebreid'!AM55</f>
        <v>0</v>
      </c>
      <c r="AN61" s="311">
        <f>'Invoer gegevens'!$U12*'Loonkosten uitgebreid'!AN55</f>
        <v>0</v>
      </c>
      <c r="AO61" s="311">
        <f>'Invoer gegevens'!$U12*'Loonkosten uitgebreid'!AO55</f>
        <v>0</v>
      </c>
      <c r="AP61" s="299">
        <f t="shared" ref="AP61" si="162">AF61*AF$27+AG61*AG$27+AH61*AH$27+AI61*AI$27+AJ61*AJ$27+AK61*AK$27+AL61*AL$27+AM61*AM$27+AN61*AN$27+AO61*AO$27</f>
        <v>93401.740703934236</v>
      </c>
      <c r="AQ61" s="316"/>
      <c r="AR61" s="311">
        <f>'Invoer gegevens'!$V12*'Loonkosten uitgebreid'!AR55</f>
        <v>6912.8002847999996</v>
      </c>
      <c r="AS61" s="311">
        <f>'Invoer gegevens'!$V12*'Loonkosten uitgebreid'!AS55</f>
        <v>6892.9448928000002</v>
      </c>
      <c r="AT61" s="311">
        <f>'Invoer gegevens'!$V12*'Loonkosten uitgebreid'!AT55</f>
        <v>6894.5959967999997</v>
      </c>
      <c r="AU61" s="311">
        <f>'Invoer gegevens'!$V12*'Loonkosten uitgebreid'!AU55</f>
        <v>6894.5959967999997</v>
      </c>
      <c r="AV61" s="311">
        <f>'Invoer gegevens'!$V12*'Loonkosten uitgebreid'!AV55</f>
        <v>6894.5959967999997</v>
      </c>
      <c r="AW61" s="311">
        <f>'Invoer gegevens'!$V12*'Loonkosten uitgebreid'!AW55</f>
        <v>6894.5959967999997</v>
      </c>
      <c r="AX61" s="311">
        <f>'Invoer gegevens'!$V12*'Loonkosten uitgebreid'!AX55</f>
        <v>0</v>
      </c>
      <c r="AY61" s="311">
        <f>'Invoer gegevens'!$V12*'Loonkosten uitgebreid'!AY55</f>
        <v>0</v>
      </c>
      <c r="AZ61" s="311">
        <f>'Invoer gegevens'!$V12*'Loonkosten uitgebreid'!AZ55</f>
        <v>0</v>
      </c>
      <c r="BA61" s="311">
        <f>'Invoer gegevens'!$V12*'Loonkosten uitgebreid'!BA55</f>
        <v>104.81470169424658</v>
      </c>
      <c r="BB61" s="309">
        <f t="shared" ref="BB61" si="163">AR61*AR$27+AS61*AS$27+AT61*AT$27+AU61*AU$27+AV61*AV$27+AW61*AW$27+AX61*AX$27+AY61*AY$27+AZ61*AZ$27+BA61*BA$27</f>
        <v>35604.002109948495</v>
      </c>
      <c r="BC61" s="127"/>
      <c r="BD61" s="117"/>
      <c r="BE61" s="117"/>
      <c r="BF61" s="117"/>
      <c r="BG61" s="117"/>
      <c r="BH61" s="117"/>
    </row>
    <row r="62" spans="1:60" ht="13.5" customHeight="1" thickTop="1" thickBot="1" x14ac:dyDescent="0.25">
      <c r="B62" s="26"/>
      <c r="C62" s="29"/>
      <c r="D62" s="29"/>
      <c r="F62" s="586"/>
      <c r="G62" s="587"/>
      <c r="H62" s="287"/>
      <c r="I62" s="287"/>
      <c r="J62" s="287"/>
      <c r="K62" s="287"/>
      <c r="L62" s="287"/>
      <c r="M62" s="287"/>
      <c r="N62" s="287"/>
      <c r="O62" s="287"/>
      <c r="P62" s="287"/>
      <c r="Q62" s="287"/>
      <c r="R62" s="287"/>
      <c r="S62" s="287"/>
      <c r="T62" s="314"/>
      <c r="U62" s="314"/>
      <c r="V62" s="314"/>
      <c r="W62" s="314"/>
      <c r="X62" s="314"/>
      <c r="Y62" s="314"/>
      <c r="Z62" s="314"/>
      <c r="AA62" s="314"/>
      <c r="AB62" s="314"/>
      <c r="AC62" s="314"/>
      <c r="AD62" s="314"/>
      <c r="AE62" s="283"/>
      <c r="AF62" s="287"/>
      <c r="AG62" s="287"/>
      <c r="AH62" s="287"/>
      <c r="AI62" s="287"/>
      <c r="AJ62" s="287"/>
      <c r="AK62" s="287"/>
      <c r="AL62" s="287"/>
      <c r="AM62" s="287"/>
      <c r="AN62" s="287"/>
      <c r="AO62" s="287"/>
      <c r="AP62" s="287"/>
      <c r="AQ62" s="283"/>
      <c r="AR62" s="315"/>
      <c r="AS62" s="315"/>
      <c r="AT62" s="315"/>
      <c r="AU62" s="315"/>
      <c r="AV62" s="315"/>
      <c r="AW62" s="315"/>
      <c r="AX62" s="315"/>
      <c r="AY62" s="315"/>
      <c r="AZ62" s="315"/>
      <c r="BA62" s="315"/>
      <c r="BB62" s="315"/>
      <c r="BC62" s="90"/>
      <c r="BD62" s="75"/>
      <c r="BE62" s="75"/>
      <c r="BF62" s="75"/>
      <c r="BG62" s="75"/>
      <c r="BH62" s="75"/>
    </row>
    <row r="63" spans="1:60" ht="13.5" customHeight="1" thickTop="1" thickBot="1" x14ac:dyDescent="0.25">
      <c r="B63" s="26"/>
      <c r="C63" s="42" t="s">
        <v>192</v>
      </c>
      <c r="D63" s="42"/>
      <c r="F63" s="586"/>
      <c r="G63" s="587"/>
      <c r="H63" s="287"/>
      <c r="I63" s="287"/>
      <c r="J63" s="287"/>
      <c r="K63" s="287"/>
      <c r="L63" s="287"/>
      <c r="M63" s="287"/>
      <c r="N63" s="287"/>
      <c r="O63" s="287"/>
      <c r="P63" s="287"/>
      <c r="Q63" s="287"/>
      <c r="R63" s="287"/>
      <c r="S63" s="287"/>
      <c r="T63" s="311">
        <f>T58+T61-H61</f>
        <v>-3784.0163641000017</v>
      </c>
      <c r="U63" s="311">
        <f t="shared" ref="U63:AD63" si="164">U58+U61-I61</f>
        <v>-3806.3536801000009</v>
      </c>
      <c r="V63" s="311">
        <f t="shared" si="164"/>
        <v>-3804.4961881000008</v>
      </c>
      <c r="W63" s="311">
        <f t="shared" si="164"/>
        <v>-3804.4961881000008</v>
      </c>
      <c r="X63" s="311">
        <f t="shared" si="164"/>
        <v>-3804.4961881000008</v>
      </c>
      <c r="Y63" s="311">
        <f t="shared" si="164"/>
        <v>-3804.4961881000008</v>
      </c>
      <c r="Z63" s="311">
        <f t="shared" si="164"/>
        <v>0</v>
      </c>
      <c r="AA63" s="311">
        <f t="shared" si="164"/>
        <v>0</v>
      </c>
      <c r="AB63" s="311">
        <f t="shared" si="164"/>
        <v>0</v>
      </c>
      <c r="AC63" s="311">
        <f t="shared" si="164"/>
        <v>2860.1616418717808</v>
      </c>
      <c r="AD63" s="311">
        <f t="shared" si="164"/>
        <v>-19618.831964932608</v>
      </c>
      <c r="AE63" s="283"/>
      <c r="AF63" s="287"/>
      <c r="AG63" s="287"/>
      <c r="AH63" s="287"/>
      <c r="AI63" s="287"/>
      <c r="AJ63" s="287"/>
      <c r="AK63" s="287"/>
      <c r="AL63" s="287"/>
      <c r="AM63" s="287"/>
      <c r="AN63" s="287"/>
      <c r="AO63" s="287"/>
      <c r="AP63" s="287"/>
      <c r="AQ63" s="283"/>
      <c r="AR63" s="313">
        <f>AR58+AR61-AF61</f>
        <v>-45408.196369200014</v>
      </c>
      <c r="AS63" s="313">
        <f t="shared" ref="AS63:BB63" si="165">AS58+AS61-AG61</f>
        <v>-45676.244161200011</v>
      </c>
      <c r="AT63" s="313">
        <f t="shared" si="165"/>
        <v>-45653.954257200006</v>
      </c>
      <c r="AU63" s="313">
        <f t="shared" si="165"/>
        <v>-45653.954257200006</v>
      </c>
      <c r="AV63" s="313">
        <f t="shared" si="165"/>
        <v>-45653.954257200006</v>
      </c>
      <c r="AW63" s="313">
        <f t="shared" si="165"/>
        <v>-45653.954257200006</v>
      </c>
      <c r="AX63" s="313">
        <f t="shared" si="165"/>
        <v>0</v>
      </c>
      <c r="AY63" s="313">
        <f t="shared" si="165"/>
        <v>0</v>
      </c>
      <c r="AZ63" s="313">
        <f t="shared" si="165"/>
        <v>0</v>
      </c>
      <c r="BA63" s="313">
        <f t="shared" si="165"/>
        <v>1414.9984728723289</v>
      </c>
      <c r="BB63" s="313">
        <f t="shared" si="165"/>
        <v>-235425.98357919132</v>
      </c>
      <c r="BC63" s="90"/>
      <c r="BD63" s="75"/>
      <c r="BE63" s="75"/>
      <c r="BF63" s="75"/>
      <c r="BG63" s="75"/>
      <c r="BH63" s="75"/>
    </row>
    <row r="64" spans="1:60" s="16" customFormat="1" ht="12.95" customHeight="1" thickTop="1" x14ac:dyDescent="0.2">
      <c r="A64" s="17"/>
      <c r="B64" s="29"/>
      <c r="C64" s="28" t="s">
        <v>193</v>
      </c>
      <c r="D64" s="28"/>
      <c r="E64" s="34"/>
      <c r="F64" s="586"/>
      <c r="G64" s="587"/>
      <c r="H64" s="295"/>
      <c r="I64" s="295"/>
      <c r="J64" s="295"/>
      <c r="K64" s="295"/>
      <c r="L64" s="295"/>
      <c r="M64" s="295"/>
      <c r="N64" s="295"/>
      <c r="O64" s="295"/>
      <c r="P64" s="295"/>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5"/>
      <c r="AO64" s="295"/>
      <c r="AP64" s="295"/>
      <c r="AQ64" s="295"/>
      <c r="AR64" s="295"/>
      <c r="AS64" s="302"/>
      <c r="AT64" s="302"/>
      <c r="AU64" s="302"/>
      <c r="AV64" s="302"/>
      <c r="AW64" s="302"/>
      <c r="AX64" s="302"/>
      <c r="AY64" s="302"/>
      <c r="AZ64" s="302"/>
      <c r="BA64" s="302"/>
      <c r="BB64" s="302"/>
      <c r="BC64" s="11"/>
      <c r="BF64" s="32"/>
      <c r="BG64" s="32"/>
      <c r="BH64" s="32"/>
    </row>
    <row r="65" spans="1:82" s="16" customFormat="1" ht="12.95" customHeight="1" x14ac:dyDescent="0.2">
      <c r="A65" s="17"/>
      <c r="B65" s="34"/>
      <c r="C65" s="34"/>
      <c r="D65" s="34"/>
      <c r="E65" s="34"/>
      <c r="F65" s="580"/>
      <c r="G65" s="579"/>
      <c r="H65" s="317"/>
      <c r="I65" s="317"/>
      <c r="J65" s="317"/>
      <c r="K65" s="317"/>
      <c r="L65" s="303"/>
      <c r="M65" s="303"/>
      <c r="N65" s="57"/>
      <c r="O65" s="274"/>
      <c r="P65" s="274"/>
      <c r="Q65" s="274"/>
      <c r="R65" s="274"/>
      <c r="S65" s="274"/>
      <c r="T65" s="274"/>
      <c r="U65" s="274"/>
      <c r="V65" s="274"/>
      <c r="W65" s="274"/>
      <c r="X65" s="274"/>
      <c r="Y65" s="274"/>
      <c r="Z65" s="274"/>
      <c r="AA65" s="274"/>
      <c r="AB65" s="274"/>
      <c r="AC65" s="274"/>
      <c r="AD65" s="274"/>
      <c r="AE65" s="274"/>
      <c r="AF65" s="284"/>
      <c r="AG65" s="284"/>
      <c r="AH65" s="284"/>
      <c r="AI65" s="284"/>
      <c r="AJ65" s="284"/>
      <c r="AK65" s="284"/>
      <c r="AL65" s="284"/>
      <c r="AM65" s="284"/>
      <c r="AN65" s="284"/>
      <c r="AO65" s="284"/>
      <c r="AP65" s="284"/>
      <c r="AQ65" s="284"/>
      <c r="AR65" s="284"/>
      <c r="AS65" s="284"/>
      <c r="AT65" s="284"/>
      <c r="AU65" s="284"/>
      <c r="AV65" s="284"/>
      <c r="AW65" s="284"/>
      <c r="AX65" s="280"/>
      <c r="AY65" s="280"/>
      <c r="AZ65" s="280"/>
      <c r="BA65" s="280"/>
      <c r="BB65" s="280"/>
    </row>
    <row r="66" spans="1:82" s="96" customFormat="1" ht="15" customHeight="1" x14ac:dyDescent="0.2">
      <c r="B66" s="11"/>
      <c r="C66" s="26"/>
      <c r="D66" s="26"/>
      <c r="E66" s="97"/>
      <c r="F66" s="587"/>
      <c r="G66" s="587"/>
      <c r="H66" s="283"/>
      <c r="I66" s="283"/>
      <c r="J66" s="283"/>
      <c r="K66" s="283"/>
      <c r="L66" s="282"/>
      <c r="M66" s="284"/>
      <c r="N66" s="319"/>
      <c r="O66" s="319"/>
      <c r="P66" s="319"/>
      <c r="Q66" s="277"/>
      <c r="R66" s="277"/>
      <c r="S66" s="277"/>
      <c r="T66" s="276"/>
      <c r="U66" s="276"/>
      <c r="V66" s="276"/>
      <c r="W66" s="276"/>
      <c r="X66" s="276"/>
      <c r="Y66" s="276"/>
      <c r="Z66" s="276"/>
      <c r="AA66" s="276"/>
      <c r="AB66" s="276"/>
      <c r="AC66" s="276"/>
      <c r="AD66" s="276"/>
      <c r="AE66" s="276"/>
      <c r="AF66" s="275"/>
      <c r="AG66" s="275"/>
      <c r="AH66" s="275"/>
      <c r="AI66" s="275"/>
      <c r="AJ66" s="275"/>
      <c r="AK66" s="275"/>
      <c r="AL66" s="275"/>
      <c r="AM66" s="275"/>
      <c r="AN66" s="275"/>
      <c r="AO66" s="275"/>
      <c r="AP66" s="275"/>
      <c r="AQ66" s="275"/>
      <c r="AR66" s="320"/>
      <c r="AS66" s="275"/>
      <c r="AT66" s="318"/>
      <c r="AU66" s="318"/>
      <c r="AV66" s="318"/>
      <c r="AW66" s="318"/>
      <c r="AX66" s="318"/>
      <c r="AY66" s="318"/>
      <c r="AZ66" s="318"/>
      <c r="BA66" s="318"/>
      <c r="BB66" s="318"/>
    </row>
    <row r="67" spans="1:82" ht="23.25" x14ac:dyDescent="0.2">
      <c r="B67" s="11"/>
      <c r="C67" s="28" t="s">
        <v>47</v>
      </c>
      <c r="D67" s="28"/>
      <c r="E67" s="34"/>
      <c r="F67" s="587"/>
      <c r="G67" s="587"/>
      <c r="H67" s="286" t="s">
        <v>114</v>
      </c>
      <c r="I67" s="283"/>
      <c r="J67" s="283"/>
      <c r="K67" s="283"/>
      <c r="L67" s="282"/>
      <c r="M67" s="284"/>
      <c r="N67" s="319"/>
      <c r="O67" s="319"/>
      <c r="P67" s="319"/>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4"/>
      <c r="AP67" s="274"/>
      <c r="AQ67" s="274"/>
      <c r="AR67" s="274"/>
      <c r="AS67" s="274"/>
      <c r="AT67" s="274"/>
      <c r="AU67" s="274"/>
      <c r="AV67" s="274"/>
      <c r="AW67" s="274"/>
      <c r="AX67" s="57"/>
      <c r="AY67" s="57"/>
      <c r="AZ67" s="57"/>
      <c r="BA67" s="57"/>
      <c r="BB67" s="57"/>
    </row>
    <row r="68" spans="1:82" ht="13.5" customHeight="1" thickBot="1" x14ac:dyDescent="0.25">
      <c r="B68" s="11"/>
      <c r="C68" s="47"/>
      <c r="D68" s="47"/>
      <c r="E68" s="34"/>
      <c r="F68" s="587"/>
      <c r="G68" s="587"/>
      <c r="H68" s="287"/>
      <c r="I68" s="287"/>
      <c r="J68" s="287"/>
      <c r="K68" s="287"/>
      <c r="L68" s="282"/>
      <c r="M68" s="284"/>
      <c r="N68" s="319"/>
      <c r="O68" s="319"/>
      <c r="P68" s="319"/>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4"/>
      <c r="AP68" s="274"/>
      <c r="AQ68" s="274"/>
      <c r="AR68" s="274"/>
      <c r="AS68" s="274"/>
      <c r="AT68" s="274"/>
      <c r="AU68" s="274"/>
      <c r="AV68" s="274"/>
      <c r="AW68" s="274"/>
      <c r="AX68" s="57"/>
      <c r="AY68" s="57"/>
      <c r="AZ68" s="57"/>
      <c r="BA68" s="57"/>
      <c r="BB68" s="57"/>
    </row>
    <row r="69" spans="1:82" ht="13.5" customHeight="1" thickTop="1" thickBot="1" x14ac:dyDescent="0.25">
      <c r="B69" s="11"/>
      <c r="C69" s="26" t="s">
        <v>18</v>
      </c>
      <c r="D69" s="563" t="str">
        <f>'Invoer gegevens'!M13</f>
        <v>Y</v>
      </c>
      <c r="E69" s="564"/>
      <c r="F69" s="587"/>
      <c r="G69" s="587"/>
      <c r="H69" s="26"/>
      <c r="I69" s="26"/>
      <c r="J69" s="283"/>
      <c r="K69" s="283"/>
      <c r="L69" s="282"/>
      <c r="M69" s="284"/>
      <c r="N69" s="319"/>
      <c r="O69" s="319"/>
      <c r="P69" s="319"/>
      <c r="Q69" s="274"/>
      <c r="R69" s="274"/>
      <c r="S69" s="274"/>
      <c r="T69" s="274"/>
      <c r="U69" s="274"/>
      <c r="V69" s="274"/>
      <c r="W69" s="274"/>
      <c r="X69" s="274"/>
      <c r="Y69" s="274"/>
      <c r="Z69" s="274"/>
      <c r="AA69" s="274"/>
      <c r="AB69" s="274"/>
      <c r="AC69" s="274"/>
      <c r="AD69" s="274"/>
      <c r="AE69" s="274"/>
      <c r="AF69" s="274"/>
      <c r="AG69" s="274"/>
      <c r="AH69" s="274"/>
      <c r="AI69" s="274"/>
      <c r="AJ69" s="274"/>
      <c r="AK69" s="274"/>
      <c r="AL69" s="274"/>
      <c r="AM69" s="274"/>
      <c r="AN69" s="274"/>
      <c r="AO69" s="274"/>
      <c r="AP69" s="274"/>
      <c r="AQ69" s="274"/>
      <c r="AR69" s="274"/>
      <c r="AS69" s="274"/>
      <c r="AT69" s="274"/>
      <c r="AU69" s="274"/>
      <c r="AV69" s="274"/>
      <c r="AW69" s="274"/>
      <c r="AX69" s="57"/>
      <c r="AY69" s="57"/>
      <c r="AZ69" s="57"/>
      <c r="BA69" s="57"/>
      <c r="BB69" s="57"/>
    </row>
    <row r="70" spans="1:82" ht="13.5" customHeight="1" thickTop="1" thickBot="1" x14ac:dyDescent="0.25">
      <c r="B70" s="15"/>
      <c r="C70" s="26" t="s">
        <v>31</v>
      </c>
      <c r="D70" s="565">
        <f>'Invoer gegevens'!M14</f>
        <v>28491</v>
      </c>
      <c r="E70" s="566"/>
      <c r="F70" s="598"/>
      <c r="G70" s="587"/>
      <c r="H70" s="26"/>
      <c r="I70" s="26"/>
      <c r="J70" s="283"/>
      <c r="K70" s="283"/>
      <c r="L70" s="282"/>
      <c r="M70" s="284"/>
      <c r="N70" s="319"/>
      <c r="O70" s="319"/>
      <c r="P70" s="319"/>
      <c r="Q70" s="274"/>
      <c r="R70" s="274"/>
      <c r="S70" s="274"/>
      <c r="T70" s="274"/>
      <c r="U70" s="274"/>
      <c r="V70" s="274"/>
      <c r="W70" s="274"/>
      <c r="X70" s="274"/>
      <c r="Y70" s="274"/>
      <c r="Z70" s="274"/>
      <c r="AA70" s="274"/>
      <c r="AB70" s="274"/>
      <c r="AC70" s="274"/>
      <c r="AD70" s="274"/>
      <c r="AE70" s="274"/>
      <c r="AF70" s="274"/>
      <c r="AG70" s="274"/>
      <c r="AH70" s="274"/>
      <c r="AI70" s="274"/>
      <c r="AJ70" s="274"/>
      <c r="AK70" s="274"/>
      <c r="AL70" s="274"/>
      <c r="AM70" s="274"/>
      <c r="AN70" s="274"/>
      <c r="AO70" s="274"/>
      <c r="AP70" s="274"/>
      <c r="AQ70" s="274"/>
      <c r="AR70" s="274"/>
      <c r="AS70" s="274"/>
      <c r="AT70" s="274"/>
      <c r="AU70" s="274"/>
      <c r="AV70" s="274"/>
      <c r="AW70" s="274"/>
      <c r="AX70" s="57"/>
      <c r="AY70" s="57"/>
      <c r="AZ70" s="57"/>
      <c r="BA70" s="57"/>
      <c r="BB70" s="57"/>
    </row>
    <row r="71" spans="1:82" ht="13.5" customHeight="1" thickTop="1" thickBot="1" x14ac:dyDescent="0.25">
      <c r="B71" s="15"/>
      <c r="C71" s="26"/>
      <c r="D71" s="283"/>
      <c r="E71" s="283"/>
      <c r="F71" s="598"/>
      <c r="G71" s="587"/>
      <c r="H71" s="26"/>
      <c r="I71" s="26"/>
      <c r="J71" s="283"/>
      <c r="K71" s="283"/>
      <c r="L71" s="282"/>
      <c r="M71" s="284"/>
      <c r="N71" s="319"/>
      <c r="O71" s="319"/>
      <c r="P71" s="319"/>
      <c r="Q71" s="274"/>
      <c r="R71" s="274"/>
      <c r="S71" s="274"/>
      <c r="T71" s="274"/>
      <c r="U71" s="274"/>
      <c r="V71" s="274"/>
      <c r="W71" s="274"/>
      <c r="X71" s="274"/>
      <c r="Y71" s="274"/>
      <c r="Z71" s="274"/>
      <c r="AA71" s="274"/>
      <c r="AB71" s="274"/>
      <c r="AC71" s="274"/>
      <c r="AD71" s="274"/>
      <c r="AE71" s="274"/>
      <c r="AF71" s="274"/>
      <c r="AG71" s="274"/>
      <c r="AH71" s="274"/>
      <c r="AI71" s="274"/>
      <c r="AJ71" s="274"/>
      <c r="AK71" s="274"/>
      <c r="AL71" s="274"/>
      <c r="AM71" s="274"/>
      <c r="AN71" s="274"/>
      <c r="AO71" s="274"/>
      <c r="AP71" s="274"/>
      <c r="AQ71" s="274"/>
      <c r="AR71" s="274"/>
      <c r="AS71" s="274"/>
      <c r="AT71" s="274"/>
      <c r="AU71" s="274"/>
      <c r="AV71" s="274"/>
      <c r="AW71" s="274"/>
      <c r="AX71" s="57"/>
      <c r="AY71" s="57"/>
      <c r="AZ71" s="57"/>
      <c r="BA71" s="57"/>
      <c r="BB71" s="57"/>
    </row>
    <row r="72" spans="1:82" ht="13.5" customHeight="1" thickTop="1" thickBot="1" x14ac:dyDescent="0.25">
      <c r="B72" s="15"/>
      <c r="C72" s="26" t="s">
        <v>79</v>
      </c>
      <c r="D72" s="289" t="s">
        <v>75</v>
      </c>
      <c r="E72" s="283"/>
      <c r="F72" s="598"/>
      <c r="G72" s="587"/>
      <c r="H72" s="26"/>
      <c r="I72" s="26"/>
      <c r="J72" s="283"/>
      <c r="K72" s="283"/>
      <c r="L72" s="282"/>
      <c r="M72" s="284"/>
      <c r="N72" s="319"/>
      <c r="O72" s="319"/>
      <c r="P72" s="319"/>
      <c r="Q72" s="274"/>
      <c r="R72" s="274"/>
      <c r="S72" s="274"/>
      <c r="T72" s="274"/>
      <c r="U72" s="274"/>
      <c r="V72" s="274"/>
      <c r="W72" s="274"/>
      <c r="X72" s="274"/>
      <c r="Y72" s="274"/>
      <c r="Z72" s="274"/>
      <c r="AA72" s="274"/>
      <c r="AB72" s="274"/>
      <c r="AC72" s="274"/>
      <c r="AD72" s="274"/>
      <c r="AE72" s="274"/>
      <c r="AF72" s="274"/>
      <c r="AG72" s="274"/>
      <c r="AH72" s="274"/>
      <c r="AI72" s="274"/>
      <c r="AJ72" s="274"/>
      <c r="AK72" s="274"/>
      <c r="AL72" s="274"/>
      <c r="AM72" s="274"/>
      <c r="AN72" s="274"/>
      <c r="AO72" s="274"/>
      <c r="AP72" s="274"/>
      <c r="AQ72" s="274"/>
      <c r="AR72" s="274"/>
      <c r="AS72" s="274"/>
      <c r="AT72" s="274"/>
      <c r="AU72" s="274"/>
      <c r="AV72" s="274"/>
      <c r="AW72" s="274"/>
      <c r="AX72" s="57"/>
      <c r="AY72" s="57"/>
      <c r="AZ72" s="57"/>
      <c r="BA72" s="57"/>
      <c r="BB72" s="57"/>
    </row>
    <row r="73" spans="1:82" ht="13.5" customHeight="1" thickTop="1" thickBot="1" x14ac:dyDescent="0.25">
      <c r="B73" s="15"/>
      <c r="C73" s="26" t="s">
        <v>77</v>
      </c>
      <c r="D73" s="290">
        <f>'Invoer gegevens'!N26</f>
        <v>1</v>
      </c>
      <c r="E73" s="283"/>
      <c r="F73" s="598"/>
      <c r="G73" s="587"/>
      <c r="H73" s="26"/>
      <c r="I73" s="26"/>
      <c r="J73" s="283"/>
      <c r="K73" s="283"/>
      <c r="L73" s="282"/>
      <c r="M73" s="284"/>
      <c r="N73" s="319"/>
      <c r="O73" s="319"/>
      <c r="P73" s="319"/>
      <c r="Q73" s="274"/>
      <c r="R73" s="274"/>
      <c r="S73" s="274"/>
      <c r="T73" s="274"/>
      <c r="U73" s="274"/>
      <c r="V73" s="274"/>
      <c r="W73" s="274"/>
      <c r="X73" s="274"/>
      <c r="Y73" s="321"/>
      <c r="Z73" s="321"/>
      <c r="AA73" s="321"/>
      <c r="AB73" s="321"/>
      <c r="AC73" s="321"/>
      <c r="AD73" s="321"/>
      <c r="AE73" s="321"/>
      <c r="AF73" s="321"/>
      <c r="AG73" s="321"/>
      <c r="AH73" s="321"/>
      <c r="AI73" s="321"/>
      <c r="AJ73" s="274"/>
      <c r="AK73" s="274"/>
      <c r="AL73" s="274"/>
      <c r="AM73" s="274"/>
      <c r="AN73" s="274"/>
      <c r="AO73" s="274"/>
      <c r="AP73" s="274"/>
      <c r="AQ73" s="274"/>
      <c r="AR73" s="274"/>
      <c r="AS73" s="274"/>
      <c r="AT73" s="274"/>
      <c r="AU73" s="274"/>
      <c r="AV73" s="274"/>
      <c r="AW73" s="274"/>
      <c r="AX73" s="57"/>
      <c r="AY73" s="57"/>
      <c r="AZ73" s="57"/>
      <c r="BA73" s="57"/>
      <c r="BB73" s="57"/>
    </row>
    <row r="74" spans="1:82" ht="13.5" customHeight="1" thickTop="1" x14ac:dyDescent="0.2">
      <c r="B74" s="15"/>
      <c r="C74" s="26"/>
      <c r="D74" s="26"/>
      <c r="E74" s="34"/>
      <c r="F74" s="587"/>
      <c r="G74" s="587"/>
      <c r="H74" s="287"/>
      <c r="I74" s="287"/>
      <c r="J74" s="287"/>
      <c r="K74" s="287"/>
      <c r="L74" s="282"/>
      <c r="M74" s="284"/>
      <c r="N74" s="319"/>
      <c r="O74" s="319"/>
      <c r="P74" s="319"/>
      <c r="Q74" s="274"/>
      <c r="R74" s="274"/>
      <c r="S74" s="274"/>
      <c r="T74" s="274"/>
      <c r="U74" s="274"/>
      <c r="V74" s="274"/>
      <c r="W74" s="274"/>
      <c r="X74" s="274"/>
      <c r="Y74" s="274"/>
      <c r="Z74" s="274"/>
      <c r="AA74" s="274"/>
      <c r="AB74" s="274"/>
      <c r="AC74" s="274"/>
      <c r="AD74" s="274"/>
      <c r="AE74" s="274"/>
      <c r="AF74" s="274"/>
      <c r="AG74" s="274"/>
      <c r="AH74" s="274"/>
      <c r="AI74" s="274"/>
      <c r="AJ74" s="274"/>
      <c r="AK74" s="274"/>
      <c r="AL74" s="274"/>
      <c r="AM74" s="274"/>
      <c r="AN74" s="274"/>
      <c r="AO74" s="274"/>
      <c r="AP74" s="274"/>
      <c r="AQ74" s="274"/>
      <c r="AR74" s="274"/>
      <c r="AS74" s="274"/>
      <c r="AT74" s="274"/>
      <c r="AU74" s="274"/>
      <c r="AV74" s="274"/>
      <c r="AW74" s="274"/>
      <c r="AX74" s="57"/>
      <c r="AY74" s="57"/>
      <c r="AZ74" s="57"/>
      <c r="BA74" s="57"/>
      <c r="BB74" s="57"/>
    </row>
    <row r="75" spans="1:82" ht="13.5" customHeight="1" x14ac:dyDescent="0.2">
      <c r="E75" s="34"/>
      <c r="F75" s="599"/>
      <c r="G75" s="599"/>
      <c r="H75" s="322"/>
      <c r="I75" s="322"/>
      <c r="J75" s="322"/>
      <c r="K75" s="322"/>
      <c r="L75" s="279"/>
      <c r="M75" s="284"/>
      <c r="N75" s="284"/>
      <c r="O75" s="284"/>
      <c r="P75" s="284"/>
      <c r="Q75" s="274"/>
      <c r="R75" s="274"/>
      <c r="S75" s="274"/>
      <c r="T75" s="274"/>
      <c r="U75" s="274"/>
      <c r="V75" s="274"/>
      <c r="W75" s="274"/>
      <c r="X75" s="274"/>
      <c r="Y75" s="274"/>
      <c r="Z75" s="274"/>
      <c r="AA75" s="274"/>
      <c r="AB75" s="274"/>
      <c r="AC75" s="274"/>
      <c r="AD75" s="274"/>
      <c r="AE75" s="274"/>
      <c r="AF75" s="274"/>
      <c r="AG75" s="274"/>
      <c r="AH75" s="274"/>
      <c r="AI75" s="274"/>
      <c r="AJ75" s="274"/>
      <c r="AK75" s="274"/>
      <c r="AL75" s="274"/>
      <c r="AM75" s="274"/>
      <c r="AN75" s="274"/>
      <c r="AO75" s="274"/>
      <c r="AP75" s="274"/>
      <c r="AQ75" s="274"/>
      <c r="AR75" s="274"/>
      <c r="AS75" s="274"/>
      <c r="AT75" s="274"/>
      <c r="AU75" s="274"/>
      <c r="AV75" s="274"/>
      <c r="AW75" s="274"/>
      <c r="AX75" s="57"/>
      <c r="AY75" s="57"/>
      <c r="AZ75" s="57"/>
      <c r="BA75" s="57"/>
      <c r="BB75" s="57"/>
    </row>
    <row r="76" spans="1:82" ht="13.5" customHeight="1" thickBot="1" x14ac:dyDescent="0.25">
      <c r="B76" s="11"/>
      <c r="C76" s="28"/>
      <c r="D76" s="28"/>
      <c r="E76" s="34"/>
      <c r="F76" s="587"/>
      <c r="G76" s="587"/>
      <c r="H76" s="283"/>
      <c r="I76" s="283"/>
      <c r="J76" s="283"/>
      <c r="K76" s="283"/>
      <c r="L76" s="282"/>
      <c r="M76" s="284"/>
      <c r="N76" s="319"/>
      <c r="O76" s="319"/>
      <c r="P76" s="319"/>
      <c r="Q76" s="274"/>
      <c r="R76" s="274"/>
      <c r="S76" s="274"/>
      <c r="T76" s="274"/>
      <c r="U76" s="274"/>
      <c r="V76" s="274"/>
      <c r="W76" s="274"/>
      <c r="X76" s="274"/>
      <c r="Y76" s="274"/>
      <c r="Z76" s="274"/>
      <c r="AA76" s="274"/>
      <c r="AB76" s="274"/>
      <c r="AC76" s="274"/>
      <c r="AD76" s="274"/>
      <c r="AE76" s="274"/>
      <c r="AF76" s="274"/>
      <c r="AG76" s="274"/>
      <c r="AH76" s="274"/>
      <c r="AI76" s="274"/>
      <c r="AJ76" s="274"/>
      <c r="AK76" s="274"/>
      <c r="AL76" s="274"/>
      <c r="AM76" s="274"/>
      <c r="AN76" s="274"/>
      <c r="AO76" s="274"/>
      <c r="AP76" s="274"/>
      <c r="AQ76" s="274"/>
      <c r="AR76" s="274"/>
      <c r="AS76" s="274"/>
      <c r="AT76" s="274"/>
      <c r="AU76" s="274"/>
      <c r="AV76" s="274"/>
      <c r="AW76" s="274"/>
      <c r="AX76" s="57"/>
      <c r="AY76" s="57"/>
      <c r="AZ76" s="57"/>
      <c r="BA76" s="57"/>
      <c r="BB76" s="57"/>
    </row>
    <row r="77" spans="1:82" ht="13.5" customHeight="1" thickTop="1" thickBot="1" x14ac:dyDescent="0.25">
      <c r="B77" s="11"/>
      <c r="C77" s="28"/>
      <c r="D77" s="28"/>
      <c r="E77" s="34"/>
      <c r="F77" s="587"/>
      <c r="G77" s="587"/>
      <c r="H77" s="292" t="s">
        <v>108</v>
      </c>
      <c r="I77" s="292"/>
      <c r="J77" s="292"/>
      <c r="K77" s="292"/>
      <c r="L77" s="292"/>
      <c r="M77" s="292"/>
      <c r="N77" s="292"/>
      <c r="O77" s="292"/>
      <c r="P77" s="292"/>
      <c r="Q77" s="292"/>
      <c r="R77" s="292"/>
      <c r="S77" s="300"/>
      <c r="T77" s="292"/>
      <c r="U77" s="292"/>
      <c r="V77" s="292"/>
      <c r="W77" s="292"/>
      <c r="X77" s="292"/>
      <c r="Y77" s="292"/>
      <c r="Z77" s="292"/>
      <c r="AA77" s="292"/>
      <c r="AB77" s="292"/>
      <c r="AC77" s="292"/>
      <c r="AD77" s="292"/>
      <c r="AE77" s="287"/>
      <c r="AF77" s="292" t="s">
        <v>109</v>
      </c>
      <c r="AG77" s="292"/>
      <c r="AH77" s="292"/>
      <c r="AI77" s="292"/>
      <c r="AJ77" s="292"/>
      <c r="AK77" s="292"/>
      <c r="AL77" s="292"/>
      <c r="AM77" s="292"/>
      <c r="AN77" s="292"/>
      <c r="AO77" s="292"/>
      <c r="AP77" s="323"/>
      <c r="AQ77" s="324"/>
      <c r="AR77" s="325"/>
      <c r="AS77" s="292"/>
      <c r="AT77" s="292"/>
      <c r="AU77" s="292"/>
      <c r="AV77" s="292"/>
      <c r="AW77" s="292"/>
      <c r="AX77" s="292"/>
      <c r="AY77" s="292"/>
      <c r="AZ77" s="292"/>
      <c r="BA77" s="292"/>
      <c r="BB77" s="292"/>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row>
    <row r="78" spans="1:82" ht="13.5" customHeight="1" thickTop="1" thickBot="1" x14ac:dyDescent="0.25">
      <c r="B78" s="11"/>
      <c r="C78" s="42" t="s">
        <v>52</v>
      </c>
      <c r="D78" s="42"/>
      <c r="E78" s="34"/>
      <c r="F78" s="587"/>
      <c r="G78" s="587"/>
      <c r="H78" s="293" t="s">
        <v>99</v>
      </c>
      <c r="I78" s="293"/>
      <c r="J78" s="293"/>
      <c r="K78" s="293"/>
      <c r="L78" s="293"/>
      <c r="M78" s="293"/>
      <c r="N78" s="293"/>
      <c r="O78" s="293"/>
      <c r="P78" s="293"/>
      <c r="Q78" s="293"/>
      <c r="R78" s="293"/>
      <c r="S78" s="300"/>
      <c r="T78" s="293" t="s">
        <v>100</v>
      </c>
      <c r="U78" s="293"/>
      <c r="V78" s="293"/>
      <c r="W78" s="293"/>
      <c r="X78" s="293"/>
      <c r="Y78" s="293"/>
      <c r="Z78" s="293"/>
      <c r="AA78" s="293"/>
      <c r="AB78" s="293"/>
      <c r="AC78" s="293"/>
      <c r="AD78" s="293"/>
      <c r="AE78" s="287"/>
      <c r="AF78" s="293" t="s">
        <v>99</v>
      </c>
      <c r="AG78" s="293"/>
      <c r="AH78" s="293"/>
      <c r="AI78" s="293"/>
      <c r="AJ78" s="293"/>
      <c r="AK78" s="293"/>
      <c r="AL78" s="293"/>
      <c r="AM78" s="293"/>
      <c r="AN78" s="293"/>
      <c r="AO78" s="293"/>
      <c r="AP78" s="293"/>
      <c r="AQ78" s="298"/>
      <c r="AR78" s="293" t="s">
        <v>100</v>
      </c>
      <c r="AS78" s="293"/>
      <c r="AT78" s="293"/>
      <c r="AU78" s="293"/>
      <c r="AV78" s="293"/>
      <c r="AW78" s="293"/>
      <c r="AX78" s="293"/>
      <c r="AY78" s="293"/>
      <c r="AZ78" s="293"/>
      <c r="BA78" s="293"/>
      <c r="BB78" s="293"/>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row>
    <row r="79" spans="1:82" ht="13.5" customHeight="1" thickTop="1" thickBot="1" x14ac:dyDescent="0.25">
      <c r="B79" s="11"/>
      <c r="C79" s="42"/>
      <c r="D79" s="42"/>
      <c r="E79" s="34"/>
      <c r="F79" s="587"/>
      <c r="G79" s="587"/>
      <c r="H79" s="293">
        <f t="shared" ref="H79:R79" si="166">H21</f>
        <v>2025</v>
      </c>
      <c r="I79" s="293">
        <f t="shared" si="166"/>
        <v>2026</v>
      </c>
      <c r="J79" s="293">
        <f t="shared" si="166"/>
        <v>2027</v>
      </c>
      <c r="K79" s="293">
        <f t="shared" si="166"/>
        <v>2028</v>
      </c>
      <c r="L79" s="293">
        <f t="shared" si="166"/>
        <v>2029</v>
      </c>
      <c r="M79" s="293">
        <f t="shared" si="166"/>
        <v>2030</v>
      </c>
      <c r="N79" s="293" t="str">
        <f t="shared" si="166"/>
        <v>[leeg]</v>
      </c>
      <c r="O79" s="293" t="str">
        <f t="shared" si="166"/>
        <v>[leeg]</v>
      </c>
      <c r="P79" s="293" t="str">
        <f t="shared" si="166"/>
        <v>[leeg]</v>
      </c>
      <c r="Q79" s="293" t="str">
        <f t="shared" si="166"/>
        <v>[leeg]</v>
      </c>
      <c r="R79" s="293" t="str">
        <f t="shared" si="166"/>
        <v>Totaal</v>
      </c>
      <c r="S79" s="300"/>
      <c r="T79" s="293">
        <f>H79</f>
        <v>2025</v>
      </c>
      <c r="U79" s="293">
        <f t="shared" ref="U79:AD79" si="167">I79</f>
        <v>2026</v>
      </c>
      <c r="V79" s="293">
        <f t="shared" si="167"/>
        <v>2027</v>
      </c>
      <c r="W79" s="293">
        <f t="shared" si="167"/>
        <v>2028</v>
      </c>
      <c r="X79" s="293">
        <f t="shared" si="167"/>
        <v>2029</v>
      </c>
      <c r="Y79" s="293">
        <f t="shared" si="167"/>
        <v>2030</v>
      </c>
      <c r="Z79" s="293" t="str">
        <f t="shared" si="167"/>
        <v>[leeg]</v>
      </c>
      <c r="AA79" s="293" t="str">
        <f t="shared" si="167"/>
        <v>[leeg]</v>
      </c>
      <c r="AB79" s="293" t="str">
        <f t="shared" si="167"/>
        <v>[leeg]</v>
      </c>
      <c r="AC79" s="293" t="str">
        <f t="shared" si="167"/>
        <v>[leeg]</v>
      </c>
      <c r="AD79" s="293" t="str">
        <f t="shared" si="167"/>
        <v>Totaal</v>
      </c>
      <c r="AE79" s="287"/>
      <c r="AF79" s="293">
        <f>T79</f>
        <v>2025</v>
      </c>
      <c r="AG79" s="293">
        <f t="shared" ref="AG79:AP79" si="168">U79</f>
        <v>2026</v>
      </c>
      <c r="AH79" s="293">
        <f t="shared" si="168"/>
        <v>2027</v>
      </c>
      <c r="AI79" s="293">
        <f t="shared" si="168"/>
        <v>2028</v>
      </c>
      <c r="AJ79" s="293">
        <f t="shared" si="168"/>
        <v>2029</v>
      </c>
      <c r="AK79" s="293">
        <f t="shared" si="168"/>
        <v>2030</v>
      </c>
      <c r="AL79" s="293" t="str">
        <f t="shared" si="168"/>
        <v>[leeg]</v>
      </c>
      <c r="AM79" s="293" t="str">
        <f t="shared" si="168"/>
        <v>[leeg]</v>
      </c>
      <c r="AN79" s="293" t="str">
        <f t="shared" si="168"/>
        <v>[leeg]</v>
      </c>
      <c r="AO79" s="293" t="str">
        <f t="shared" si="168"/>
        <v>[leeg]</v>
      </c>
      <c r="AP79" s="293" t="str">
        <f t="shared" si="168"/>
        <v>Totaal</v>
      </c>
      <c r="AQ79" s="298"/>
      <c r="AR79" s="293">
        <f>AF79</f>
        <v>2025</v>
      </c>
      <c r="AS79" s="293">
        <f t="shared" ref="AS79" si="169">AG79</f>
        <v>2026</v>
      </c>
      <c r="AT79" s="293">
        <f t="shared" ref="AT79" si="170">AH79</f>
        <v>2027</v>
      </c>
      <c r="AU79" s="293">
        <f t="shared" ref="AU79" si="171">AI79</f>
        <v>2028</v>
      </c>
      <c r="AV79" s="293">
        <f t="shared" ref="AV79" si="172">AJ79</f>
        <v>2029</v>
      </c>
      <c r="AW79" s="293">
        <f t="shared" ref="AW79" si="173">AK79</f>
        <v>2030</v>
      </c>
      <c r="AX79" s="293" t="str">
        <f t="shared" ref="AX79" si="174">AL79</f>
        <v>[leeg]</v>
      </c>
      <c r="AY79" s="293" t="str">
        <f t="shared" ref="AY79" si="175">AM79</f>
        <v>[leeg]</v>
      </c>
      <c r="AZ79" s="293" t="str">
        <f t="shared" ref="AZ79" si="176">AN79</f>
        <v>[leeg]</v>
      </c>
      <c r="BA79" s="293" t="str">
        <f t="shared" ref="BA79" si="177">AO79</f>
        <v>[leeg]</v>
      </c>
      <c r="BB79" s="293" t="str">
        <f t="shared" ref="BB79" si="178">AP79</f>
        <v>Totaal</v>
      </c>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row>
    <row r="80" spans="1:82" ht="13.5" customHeight="1" thickTop="1" thickBot="1" x14ac:dyDescent="0.25">
      <c r="B80" s="11"/>
      <c r="C80" s="47" t="s">
        <v>5</v>
      </c>
      <c r="D80" s="47"/>
      <c r="E80" s="34"/>
      <c r="F80" s="587"/>
      <c r="G80" s="587"/>
      <c r="H80" s="283"/>
      <c r="I80" s="283"/>
      <c r="J80" s="283"/>
      <c r="K80" s="283"/>
      <c r="L80" s="283"/>
      <c r="M80" s="283"/>
      <c r="N80" s="283"/>
      <c r="O80" s="283"/>
      <c r="P80" s="283"/>
      <c r="Q80" s="283"/>
      <c r="R80" s="283"/>
      <c r="S80" s="300"/>
      <c r="T80" s="283"/>
      <c r="U80" s="283"/>
      <c r="V80" s="283"/>
      <c r="W80" s="283"/>
      <c r="X80" s="283"/>
      <c r="Y80" s="283"/>
      <c r="Z80" s="283"/>
      <c r="AA80" s="283"/>
      <c r="AB80" s="283"/>
      <c r="AC80" s="283"/>
      <c r="AD80" s="283"/>
      <c r="AE80" s="287"/>
      <c r="AF80" s="283"/>
      <c r="AG80" s="283"/>
      <c r="AH80" s="283"/>
      <c r="AI80" s="283"/>
      <c r="AJ80" s="283"/>
      <c r="AK80" s="283"/>
      <c r="AL80" s="283"/>
      <c r="AM80" s="283"/>
      <c r="AN80" s="283"/>
      <c r="AO80" s="283"/>
      <c r="AP80" s="283"/>
      <c r="AQ80" s="298"/>
      <c r="AR80" s="283"/>
      <c r="AS80" s="283"/>
      <c r="AT80" s="283"/>
      <c r="AU80" s="283"/>
      <c r="AV80" s="283"/>
      <c r="AW80" s="283"/>
      <c r="AX80" s="283"/>
      <c r="AY80" s="283"/>
      <c r="AZ80" s="283"/>
      <c r="BA80" s="283"/>
      <c r="BB80" s="283"/>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row>
    <row r="81" spans="2:82" ht="13.5" customHeight="1" thickTop="1" thickBot="1" x14ac:dyDescent="0.25">
      <c r="B81" s="11"/>
      <c r="C81" s="26" t="s">
        <v>3</v>
      </c>
      <c r="D81" s="26"/>
      <c r="E81" s="34"/>
      <c r="F81" s="587"/>
      <c r="G81" s="587"/>
      <c r="H81" s="294" t="str">
        <f>'Invoer gegevens'!$M23</f>
        <v>LB</v>
      </c>
      <c r="I81" s="294" t="str">
        <f>IF(I$79&lt;&gt;"[leeg]",'Invoer gegevens'!$M23,"[leeg]")</f>
        <v>LB</v>
      </c>
      <c r="J81" s="294" t="str">
        <f>IF(J$79&lt;&gt;"[leeg]",'Invoer gegevens'!$M23,"[leeg]")</f>
        <v>LB</v>
      </c>
      <c r="K81" s="294" t="str">
        <f>IF(K$79&lt;&gt;"[leeg]",'Invoer gegevens'!$M23,"[leeg]")</f>
        <v>LB</v>
      </c>
      <c r="L81" s="294" t="str">
        <f>IF(L$79&lt;&gt;"[leeg]",'Invoer gegevens'!$M23,"[leeg]")</f>
        <v>LB</v>
      </c>
      <c r="M81" s="294" t="str">
        <f>IF(M$79&lt;&gt;"[leeg]",'Invoer gegevens'!$M23,"[leeg]")</f>
        <v>LB</v>
      </c>
      <c r="N81" s="294" t="str">
        <f>IF(N$79&lt;&gt;"[leeg]",'Invoer gegevens'!$M23,"[leeg]")</f>
        <v>[leeg]</v>
      </c>
      <c r="O81" s="294" t="str">
        <f>IF(O$79&lt;&gt;"[leeg]",'Invoer gegevens'!$M23,"[leeg]")</f>
        <v>[leeg]</v>
      </c>
      <c r="P81" s="294" t="str">
        <f>IF(P$79&lt;&gt;"[leeg]",'Invoer gegevens'!$M23,"[leeg]")</f>
        <v>[leeg]</v>
      </c>
      <c r="Q81" s="294" t="str">
        <f>IF(Q$79&lt;&gt;"[leeg]",'Invoer gegevens'!$M23,"[leeg]")</f>
        <v>[leeg]</v>
      </c>
      <c r="R81" s="283"/>
      <c r="S81" s="300"/>
      <c r="T81" s="294" t="str">
        <f>'Invoer gegevens'!$N23</f>
        <v>LB</v>
      </c>
      <c r="U81" s="294" t="str">
        <f>IF(U79&lt;&gt;"[leeg]",'Invoer gegevens'!$N23,"[leeg]")</f>
        <v>LB</v>
      </c>
      <c r="V81" s="294" t="str">
        <f>IF(V79&lt;&gt;"[leeg]",'Invoer gegevens'!$N23,"[leeg]")</f>
        <v>LB</v>
      </c>
      <c r="W81" s="294" t="str">
        <f>IF(W79&lt;&gt;"[leeg]",'Invoer gegevens'!$N23,"[leeg]")</f>
        <v>LB</v>
      </c>
      <c r="X81" s="294" t="str">
        <f>IF(X79&lt;&gt;"[leeg]",'Invoer gegevens'!$N23,"[leeg]")</f>
        <v>LB</v>
      </c>
      <c r="Y81" s="294" t="str">
        <f>IF(Y79&lt;&gt;"[leeg]",'Invoer gegevens'!$N23,"[leeg]")</f>
        <v>LB</v>
      </c>
      <c r="Z81" s="294" t="str">
        <f>IF(Z79&lt;&gt;"[leeg]",'Invoer gegevens'!$N23,"[leeg]")</f>
        <v>[leeg]</v>
      </c>
      <c r="AA81" s="294" t="str">
        <f>IF(AA79&lt;&gt;"[leeg]",'Invoer gegevens'!$N23,"[leeg]")</f>
        <v>[leeg]</v>
      </c>
      <c r="AB81" s="294" t="str">
        <f>IF(AB79&lt;&gt;"[leeg]",'Invoer gegevens'!$N23,"[leeg]")</f>
        <v>[leeg]</v>
      </c>
      <c r="AC81" s="294" t="str">
        <f>IF(AC79&lt;&gt;"[leeg]",'Invoer gegevens'!$N23,"[leeg]")</f>
        <v>[leeg]</v>
      </c>
      <c r="AD81" s="283"/>
      <c r="AE81" s="287"/>
      <c r="AF81" s="295">
        <f>IF(AND(H81&gt;0,H81&lt;17),100,0)</f>
        <v>0</v>
      </c>
      <c r="AG81" s="295"/>
      <c r="AH81" s="295"/>
      <c r="AI81" s="295"/>
      <c r="AJ81" s="295"/>
      <c r="AK81" s="295"/>
      <c r="AL81" s="295"/>
      <c r="AM81" s="295"/>
      <c r="AN81" s="295"/>
      <c r="AO81" s="295"/>
      <c r="AP81" s="295"/>
      <c r="AQ81" s="298"/>
      <c r="AR81" s="295">
        <f>IF(AND(T81&gt;0,T81&lt;17),100,0)</f>
        <v>0</v>
      </c>
      <c r="AS81" s="295">
        <f t="shared" ref="AS81:BB81" si="179">IF(AND(U81&gt;0,U81&lt;17),100,0)</f>
        <v>0</v>
      </c>
      <c r="AT81" s="295">
        <f t="shared" si="179"/>
        <v>0</v>
      </c>
      <c r="AU81" s="295">
        <f t="shared" si="179"/>
        <v>0</v>
      </c>
      <c r="AV81" s="295">
        <f t="shared" si="179"/>
        <v>0</v>
      </c>
      <c r="AW81" s="295">
        <f t="shared" si="179"/>
        <v>0</v>
      </c>
      <c r="AX81" s="295">
        <f t="shared" si="179"/>
        <v>0</v>
      </c>
      <c r="AY81" s="295">
        <f t="shared" si="179"/>
        <v>0</v>
      </c>
      <c r="AZ81" s="295">
        <f t="shared" si="179"/>
        <v>0</v>
      </c>
      <c r="BA81" s="295">
        <f t="shared" si="179"/>
        <v>0</v>
      </c>
      <c r="BB81" s="295">
        <f t="shared" si="179"/>
        <v>0</v>
      </c>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row>
    <row r="82" spans="2:82" ht="13.5" customHeight="1" thickTop="1" thickBot="1" x14ac:dyDescent="0.25">
      <c r="B82" s="11"/>
      <c r="C82" s="26" t="s">
        <v>4</v>
      </c>
      <c r="D82" s="26"/>
      <c r="E82" s="34"/>
      <c r="F82" s="587"/>
      <c r="G82" s="587"/>
      <c r="H82" s="296">
        <f>'Invoer gegevens'!M24</f>
        <v>9</v>
      </c>
      <c r="I82" s="297">
        <f t="shared" ref="I82:Q82" si="180">IF(I$79&lt;&gt;"[leeg]",MIN(H82+1,VLOOKUP(I81,Saltab2023,22,FALSE)),"[leeg]")</f>
        <v>10</v>
      </c>
      <c r="J82" s="297">
        <f t="shared" si="180"/>
        <v>11</v>
      </c>
      <c r="K82" s="297">
        <f t="shared" si="180"/>
        <v>12</v>
      </c>
      <c r="L82" s="297">
        <f t="shared" si="180"/>
        <v>12</v>
      </c>
      <c r="M82" s="297">
        <f t="shared" si="180"/>
        <v>12</v>
      </c>
      <c r="N82" s="297" t="str">
        <f t="shared" si="180"/>
        <v>[leeg]</v>
      </c>
      <c r="O82" s="297" t="str">
        <f t="shared" si="180"/>
        <v>[leeg]</v>
      </c>
      <c r="P82" s="297" t="str">
        <f t="shared" si="180"/>
        <v>[leeg]</v>
      </c>
      <c r="Q82" s="297" t="str">
        <f t="shared" si="180"/>
        <v>[leeg]</v>
      </c>
      <c r="R82" s="283"/>
      <c r="S82" s="300"/>
      <c r="T82" s="296">
        <f>'Invoer gegevens'!$N24</f>
        <v>9</v>
      </c>
      <c r="U82" s="297">
        <f t="shared" ref="U82:AC82" si="181">IF(U$79&lt;&gt;"[leeg]",MIN(T82+1,VLOOKUP(U81,Saltab2023,22,FALSE)),"[leeg]")</f>
        <v>10</v>
      </c>
      <c r="V82" s="297">
        <f t="shared" si="181"/>
        <v>11</v>
      </c>
      <c r="W82" s="297">
        <f t="shared" si="181"/>
        <v>12</v>
      </c>
      <c r="X82" s="297">
        <f t="shared" si="181"/>
        <v>12</v>
      </c>
      <c r="Y82" s="297">
        <f t="shared" si="181"/>
        <v>12</v>
      </c>
      <c r="Z82" s="297" t="str">
        <f t="shared" si="181"/>
        <v>[leeg]</v>
      </c>
      <c r="AA82" s="297" t="str">
        <f t="shared" si="181"/>
        <v>[leeg]</v>
      </c>
      <c r="AB82" s="297" t="str">
        <f t="shared" si="181"/>
        <v>[leeg]</v>
      </c>
      <c r="AC82" s="297" t="str">
        <f t="shared" si="181"/>
        <v>[leeg]</v>
      </c>
      <c r="AD82" s="283"/>
      <c r="AE82" s="287"/>
      <c r="AF82" s="298"/>
      <c r="AG82" s="298"/>
      <c r="AH82" s="298"/>
      <c r="AI82" s="298"/>
      <c r="AJ82" s="298"/>
      <c r="AK82" s="298"/>
      <c r="AL82" s="298"/>
      <c r="AM82" s="298"/>
      <c r="AN82" s="298"/>
      <c r="AO82" s="298"/>
      <c r="AP82" s="298"/>
      <c r="AQ82" s="298"/>
      <c r="AR82" s="298"/>
      <c r="AS82" s="298"/>
      <c r="AT82" s="298"/>
      <c r="AU82" s="298"/>
      <c r="AV82" s="298"/>
      <c r="AW82" s="298"/>
      <c r="AX82" s="298"/>
      <c r="AY82" s="298"/>
      <c r="AZ82" s="298"/>
      <c r="BA82" s="298"/>
      <c r="BB82" s="298"/>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row>
    <row r="83" spans="2:82" ht="13.5" customHeight="1" thickTop="1" thickBot="1" x14ac:dyDescent="0.25">
      <c r="B83" s="11"/>
      <c r="C83" s="26" t="s">
        <v>6</v>
      </c>
      <c r="D83" s="26"/>
      <c r="E83" s="34"/>
      <c r="F83" s="587"/>
      <c r="G83" s="587"/>
      <c r="H83" s="299">
        <f>VLOOKUP(H81,Saltab2023,H82+5,FALSE)</f>
        <v>4534</v>
      </c>
      <c r="I83" s="299">
        <f t="shared" ref="I83:Q83" si="182">IF(I$79&lt;&gt;"[leeg]",VLOOKUP(I81,Saltab2023,I82+5,FALSE),0)</f>
        <v>4757</v>
      </c>
      <c r="J83" s="299">
        <f t="shared" si="182"/>
        <v>5004</v>
      </c>
      <c r="K83" s="299">
        <f t="shared" si="182"/>
        <v>5277</v>
      </c>
      <c r="L83" s="299">
        <f t="shared" si="182"/>
        <v>5277</v>
      </c>
      <c r="M83" s="299">
        <f t="shared" si="182"/>
        <v>5277</v>
      </c>
      <c r="N83" s="299">
        <f t="shared" si="182"/>
        <v>0</v>
      </c>
      <c r="O83" s="299">
        <f t="shared" si="182"/>
        <v>0</v>
      </c>
      <c r="P83" s="299">
        <f t="shared" si="182"/>
        <v>0</v>
      </c>
      <c r="Q83" s="299">
        <f t="shared" si="182"/>
        <v>0</v>
      </c>
      <c r="R83" s="283"/>
      <c r="S83" s="300"/>
      <c r="T83" s="299">
        <f>VLOOKUP(T81,Saltab2023,T82+5,FALSE)</f>
        <v>4534</v>
      </c>
      <c r="U83" s="299">
        <f t="shared" ref="U83:AC83" si="183">IF(U$79&lt;&gt;"[leeg]",VLOOKUP(U81,Saltab2023,U82+5,FALSE),0)</f>
        <v>4757</v>
      </c>
      <c r="V83" s="299">
        <f t="shared" si="183"/>
        <v>5004</v>
      </c>
      <c r="W83" s="299">
        <f t="shared" si="183"/>
        <v>5277</v>
      </c>
      <c r="X83" s="299">
        <f t="shared" si="183"/>
        <v>5277</v>
      </c>
      <c r="Y83" s="299">
        <f t="shared" si="183"/>
        <v>5277</v>
      </c>
      <c r="Z83" s="299">
        <f t="shared" si="183"/>
        <v>0</v>
      </c>
      <c r="AA83" s="299">
        <f t="shared" si="183"/>
        <v>0</v>
      </c>
      <c r="AB83" s="299">
        <f t="shared" si="183"/>
        <v>0</v>
      </c>
      <c r="AC83" s="299">
        <f t="shared" si="183"/>
        <v>0</v>
      </c>
      <c r="AD83" s="283"/>
      <c r="AE83" s="287"/>
      <c r="AF83" s="300"/>
      <c r="AG83" s="300"/>
      <c r="AH83" s="300"/>
      <c r="AI83" s="300"/>
      <c r="AJ83" s="300"/>
      <c r="AK83" s="300"/>
      <c r="AL83" s="300"/>
      <c r="AM83" s="300"/>
      <c r="AN83" s="300"/>
      <c r="AO83" s="300"/>
      <c r="AP83" s="300"/>
      <c r="AQ83" s="298"/>
      <c r="AR83" s="300"/>
      <c r="AS83" s="300"/>
      <c r="AT83" s="300"/>
      <c r="AU83" s="300"/>
      <c r="AV83" s="300"/>
      <c r="AW83" s="300"/>
      <c r="AX83" s="300"/>
      <c r="AY83" s="300"/>
      <c r="AZ83" s="300"/>
      <c r="BA83" s="300"/>
      <c r="BB83" s="300"/>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row>
    <row r="84" spans="2:82" ht="13.5" customHeight="1" thickTop="1" thickBot="1" x14ac:dyDescent="0.25">
      <c r="B84" s="11"/>
      <c r="C84" s="26" t="s">
        <v>84</v>
      </c>
      <c r="D84" s="26"/>
      <c r="E84" s="34"/>
      <c r="F84" s="587"/>
      <c r="G84" s="587"/>
      <c r="H84" s="301">
        <f>'Invoer gegevens'!$M26</f>
        <v>0.5</v>
      </c>
      <c r="I84" s="301">
        <f>IF(I$79&lt;&gt;"[leeg]",'Invoer gegevens'!$M26,0)</f>
        <v>0.5</v>
      </c>
      <c r="J84" s="301">
        <f>IF(J$79&lt;&gt;"[leeg]",'Invoer gegevens'!$M26,0)</f>
        <v>0.5</v>
      </c>
      <c r="K84" s="301">
        <f>IF(K$79&lt;&gt;"[leeg]",'Invoer gegevens'!$M26,0)</f>
        <v>0.5</v>
      </c>
      <c r="L84" s="301">
        <f>IF(L$79&lt;&gt;"[leeg]",'Invoer gegevens'!$M26,0)</f>
        <v>0.5</v>
      </c>
      <c r="M84" s="301">
        <f>IF(M$79&lt;&gt;"[leeg]",'Invoer gegevens'!$M26,0)</f>
        <v>0.5</v>
      </c>
      <c r="N84" s="301">
        <f>IF(N$79&lt;&gt;"[leeg]",'Invoer gegevens'!$M26,0)</f>
        <v>0</v>
      </c>
      <c r="O84" s="301">
        <f>IF(O$79&lt;&gt;"[leeg]",'Invoer gegevens'!$M26,0)</f>
        <v>0</v>
      </c>
      <c r="P84" s="301">
        <f>IF(P$79&lt;&gt;"[leeg]",'Invoer gegevens'!$M26,0)</f>
        <v>0</v>
      </c>
      <c r="Q84" s="301">
        <f>IF(Q$79&lt;&gt;"[leeg]",'Invoer gegevens'!$M26,0)</f>
        <v>0</v>
      </c>
      <c r="R84" s="283"/>
      <c r="S84" s="300"/>
      <c r="T84" s="301">
        <f>'Invoer gegevens'!$N26</f>
        <v>1</v>
      </c>
      <c r="U84" s="301">
        <f>IF(U$79&lt;&gt;"[leeg]",'Invoer gegevens'!$N26,0)</f>
        <v>1</v>
      </c>
      <c r="V84" s="301">
        <f>IF(V$79&lt;&gt;"[leeg]",'Invoer gegevens'!$N26,0)</f>
        <v>1</v>
      </c>
      <c r="W84" s="301">
        <f>IF(W$79&lt;&gt;"[leeg]",'Invoer gegevens'!$N26,0)</f>
        <v>1</v>
      </c>
      <c r="X84" s="301">
        <f>IF(X$79&lt;&gt;"[leeg]",'Invoer gegevens'!$N26,0)</f>
        <v>1</v>
      </c>
      <c r="Y84" s="301">
        <f>IF(Y$79&lt;&gt;"[leeg]",'Invoer gegevens'!$N26,0)</f>
        <v>1</v>
      </c>
      <c r="Z84" s="301">
        <f>IF(Z$79&lt;&gt;"[leeg]",'Invoer gegevens'!$N26,0)</f>
        <v>0</v>
      </c>
      <c r="AA84" s="301">
        <f>IF(AA$79&lt;&gt;"[leeg]",'Invoer gegevens'!$N26,0)</f>
        <v>0</v>
      </c>
      <c r="AB84" s="301">
        <f>IF(AB$79&lt;&gt;"[leeg]",'Invoer gegevens'!$N26,0)</f>
        <v>0</v>
      </c>
      <c r="AC84" s="301">
        <f>IF(AC$79&lt;&gt;"[leeg]",'Invoer gegevens'!$N26,0)</f>
        <v>0</v>
      </c>
      <c r="AD84" s="283"/>
      <c r="AE84" s="287"/>
      <c r="AF84" s="283"/>
      <c r="AG84" s="283"/>
      <c r="AH84" s="283"/>
      <c r="AI84" s="283"/>
      <c r="AJ84" s="283"/>
      <c r="AK84" s="283"/>
      <c r="AL84" s="283"/>
      <c r="AM84" s="283"/>
      <c r="AN84" s="283"/>
      <c r="AO84" s="283"/>
      <c r="AP84" s="283"/>
      <c r="AQ84" s="298"/>
      <c r="AR84" s="283"/>
      <c r="AS84" s="283"/>
      <c r="AT84" s="283"/>
      <c r="AU84" s="283"/>
      <c r="AV84" s="283"/>
      <c r="AW84" s="283"/>
      <c r="AX84" s="283"/>
      <c r="AY84" s="283"/>
      <c r="AZ84" s="283"/>
      <c r="BA84" s="283"/>
      <c r="BB84" s="283"/>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row>
    <row r="85" spans="2:82" ht="13.5" customHeight="1" thickTop="1" thickBot="1" x14ac:dyDescent="0.25">
      <c r="B85" s="11"/>
      <c r="C85" s="26"/>
      <c r="D85" s="26"/>
      <c r="E85" s="34"/>
      <c r="F85" s="587"/>
      <c r="G85" s="587"/>
      <c r="H85" s="326"/>
      <c r="I85" s="326"/>
      <c r="J85" s="326"/>
      <c r="K85" s="326"/>
      <c r="L85" s="326"/>
      <c r="M85" s="326"/>
      <c r="N85" s="326"/>
      <c r="O85" s="326"/>
      <c r="P85" s="326"/>
      <c r="Q85" s="326"/>
      <c r="R85" s="326"/>
      <c r="S85" s="300"/>
      <c r="T85" s="326"/>
      <c r="U85" s="326"/>
      <c r="V85" s="326"/>
      <c r="W85" s="326"/>
      <c r="X85" s="326"/>
      <c r="Y85" s="326"/>
      <c r="Z85" s="326"/>
      <c r="AA85" s="326"/>
      <c r="AB85" s="326"/>
      <c r="AC85" s="326"/>
      <c r="AD85" s="326"/>
      <c r="AE85" s="287"/>
      <c r="AF85" s="283"/>
      <c r="AG85" s="283"/>
      <c r="AH85" s="283"/>
      <c r="AI85" s="283"/>
      <c r="AJ85" s="283"/>
      <c r="AK85" s="283"/>
      <c r="AL85" s="283"/>
      <c r="AM85" s="283"/>
      <c r="AN85" s="283"/>
      <c r="AO85" s="283"/>
      <c r="AP85" s="283"/>
      <c r="AQ85" s="298"/>
      <c r="AR85" s="283"/>
      <c r="AS85" s="283"/>
      <c r="AT85" s="283"/>
      <c r="AU85" s="283"/>
      <c r="AV85" s="283"/>
      <c r="AW85" s="283"/>
      <c r="AX85" s="283"/>
      <c r="AY85" s="283"/>
      <c r="AZ85" s="283"/>
      <c r="BA85" s="283"/>
      <c r="BB85" s="283"/>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row>
    <row r="86" spans="2:82" s="16" customFormat="1" ht="12.95" customHeight="1" collapsed="1" thickTop="1" thickBot="1" x14ac:dyDescent="0.25">
      <c r="B86" s="11"/>
      <c r="C86" s="471" t="s">
        <v>117</v>
      </c>
      <c r="D86" s="28"/>
      <c r="E86" s="79"/>
      <c r="F86" s="586"/>
      <c r="G86" s="587"/>
      <c r="H86" s="429">
        <f>H83*H84</f>
        <v>2267</v>
      </c>
      <c r="I86" s="304">
        <f>IF(I82&lt;&gt;"[leeg]",I83*I84,0)</f>
        <v>2378.5</v>
      </c>
      <c r="J86" s="304">
        <f t="shared" ref="J86:Q86" si="184">IF(J82&lt;&gt;"[leeg]",J83*J84,0)</f>
        <v>2502</v>
      </c>
      <c r="K86" s="304">
        <f t="shared" si="184"/>
        <v>2638.5</v>
      </c>
      <c r="L86" s="304">
        <f t="shared" si="184"/>
        <v>2638.5</v>
      </c>
      <c r="M86" s="304">
        <f t="shared" si="184"/>
        <v>2638.5</v>
      </c>
      <c r="N86" s="304">
        <f t="shared" si="184"/>
        <v>0</v>
      </c>
      <c r="O86" s="304">
        <f t="shared" si="184"/>
        <v>0</v>
      </c>
      <c r="P86" s="304">
        <f t="shared" si="184"/>
        <v>0</v>
      </c>
      <c r="Q86" s="304">
        <f t="shared" si="184"/>
        <v>0</v>
      </c>
      <c r="R86" s="304">
        <f>H86*H$27+I86*I$27+J86*J$27+K86*K$27+L86*L$27+M86*M$27+N86*N$27+O86*O$27+P86*P$27+Q86*Q$27</f>
        <v>12850.997260273973</v>
      </c>
      <c r="S86" s="283"/>
      <c r="T86" s="304">
        <f>T83*T84</f>
        <v>4534</v>
      </c>
      <c r="U86" s="304">
        <f>IF(U82&lt;&gt;"[leeg]",U83*U84,0)</f>
        <v>4757</v>
      </c>
      <c r="V86" s="304">
        <f t="shared" ref="V86:AC86" si="185">IF(V82&lt;&gt;"[leeg]",V83*V84,0)</f>
        <v>5004</v>
      </c>
      <c r="W86" s="304">
        <f t="shared" si="185"/>
        <v>5277</v>
      </c>
      <c r="X86" s="304">
        <f t="shared" si="185"/>
        <v>5277</v>
      </c>
      <c r="Y86" s="304">
        <f t="shared" si="185"/>
        <v>5277</v>
      </c>
      <c r="Z86" s="304">
        <f t="shared" si="185"/>
        <v>0</v>
      </c>
      <c r="AA86" s="304">
        <f t="shared" si="185"/>
        <v>0</v>
      </c>
      <c r="AB86" s="304">
        <f t="shared" si="185"/>
        <v>0</v>
      </c>
      <c r="AC86" s="304">
        <f t="shared" si="185"/>
        <v>0</v>
      </c>
      <c r="AD86" s="304">
        <f t="shared" ref="AD86:AD95" si="186">T86*T$27+U86*U$27+V86*V$27+W86*W$27+X86*X$27+Y86*Y$27+Z86*Z$27+AA86*AA$27+AB86*AB$27+AC86*AC$27</f>
        <v>25701.994520547945</v>
      </c>
      <c r="AE86" s="283"/>
      <c r="AF86" s="304">
        <f>H86*12</f>
        <v>27204</v>
      </c>
      <c r="AG86" s="304">
        <f t="shared" ref="AG86" si="187">I86*12</f>
        <v>28542</v>
      </c>
      <c r="AH86" s="304">
        <f t="shared" ref="AH86" si="188">J86*12</f>
        <v>30024</v>
      </c>
      <c r="AI86" s="304">
        <f t="shared" ref="AI86" si="189">K86*12</f>
        <v>31662</v>
      </c>
      <c r="AJ86" s="304">
        <f t="shared" ref="AJ86" si="190">L86*12</f>
        <v>31662</v>
      </c>
      <c r="AK86" s="304">
        <f t="shared" ref="AK86" si="191">M86*12</f>
        <v>31662</v>
      </c>
      <c r="AL86" s="304">
        <f t="shared" ref="AL86" si="192">N86*12</f>
        <v>0</v>
      </c>
      <c r="AM86" s="304">
        <f t="shared" ref="AM86" si="193">O86*12</f>
        <v>0</v>
      </c>
      <c r="AN86" s="304">
        <f t="shared" ref="AN86" si="194">P86*12</f>
        <v>0</v>
      </c>
      <c r="AO86" s="304">
        <f t="shared" ref="AO86" si="195">Q86*12</f>
        <v>0</v>
      </c>
      <c r="AP86" s="304">
        <f t="shared" ref="AP86:AP95" si="196">AF86*AF$27+AG86*AG$27+AH86*AH$27+AI86*AI$27+AJ86*AJ$27+AK86*AK$27+AL86*AL$27+AM86*AM$27+AN86*AN$27+AO86*AO$27</f>
        <v>154211.96712328767</v>
      </c>
      <c r="AQ86" s="283"/>
      <c r="AR86" s="304">
        <f>T86*12</f>
        <v>54408</v>
      </c>
      <c r="AS86" s="304">
        <f t="shared" ref="AS86:BA92" si="197">U86*12</f>
        <v>57084</v>
      </c>
      <c r="AT86" s="304">
        <f t="shared" si="197"/>
        <v>60048</v>
      </c>
      <c r="AU86" s="304">
        <f t="shared" si="197"/>
        <v>63324</v>
      </c>
      <c r="AV86" s="304">
        <f t="shared" si="197"/>
        <v>63324</v>
      </c>
      <c r="AW86" s="304">
        <f t="shared" si="197"/>
        <v>63324</v>
      </c>
      <c r="AX86" s="304">
        <f t="shared" si="197"/>
        <v>0</v>
      </c>
      <c r="AY86" s="304">
        <f t="shared" si="197"/>
        <v>0</v>
      </c>
      <c r="AZ86" s="304">
        <f t="shared" si="197"/>
        <v>0</v>
      </c>
      <c r="BA86" s="304">
        <f t="shared" si="197"/>
        <v>0</v>
      </c>
      <c r="BB86" s="304">
        <f t="shared" ref="BB86:BB95" si="198">AR86*AR$27+AS86*AS$27+AT86*AT$27+AU86*AU$27+AV86*AV$27+AW86*AW$27+AX86*AX$27+AY86*AY$27+AZ86*AZ$27+BA86*BA$27</f>
        <v>308423.93424657534</v>
      </c>
      <c r="BC86" s="11"/>
      <c r="BF86" s="32"/>
      <c r="BG86" s="32"/>
      <c r="BH86" s="32"/>
    </row>
    <row r="87" spans="2:82" s="16" customFormat="1" ht="12.95" customHeight="1" thickTop="1" thickBot="1" x14ac:dyDescent="0.25">
      <c r="B87" s="11"/>
      <c r="C87" s="26" t="s">
        <v>8</v>
      </c>
      <c r="D87" s="26"/>
      <c r="E87" s="17"/>
      <c r="F87" s="586"/>
      <c r="G87" s="589"/>
      <c r="H87" s="430">
        <f>ROUND(IF((H$86+H89)*'Tabellen PO-Raad'!$D$33&lt;H84*'Tabellen PO-Raad'!$D$35,H84*'Tabellen PO-Raad'!$D$35,(H$86+H89)*'Tabellen PO-Raad'!$D$33),2)</f>
        <v>181.36</v>
      </c>
      <c r="I87" s="299">
        <f>IF(I$21&lt;&gt;"[leeg]",ROUND(IF((I$86+I89)*'Tabellen PO-Raad'!$D$33&lt;I84*'Tabellen PO-Raad'!$D$35,I84*'Tabellen PO-Raad'!$D$35,(I$86+I89)*'Tabellen PO-Raad'!$D$33),2),0)</f>
        <v>190.28</v>
      </c>
      <c r="J87" s="299">
        <f>IF(J$21&lt;&gt;"[leeg]",ROUND(IF((J$86+J89)*'Tabellen PO-Raad'!$D$33&lt;J84*'Tabellen PO-Raad'!$D$35,J84*'Tabellen PO-Raad'!$D$35,(J$86+J89)*'Tabellen PO-Raad'!$D$33),2),0)</f>
        <v>200.16</v>
      </c>
      <c r="K87" s="299">
        <f>IF(K$21&lt;&gt;"[leeg]",ROUND(IF((K$86+K89)*'Tabellen PO-Raad'!$D$33&lt;K84*'Tabellen PO-Raad'!$D$35,K84*'Tabellen PO-Raad'!$D$35,(K$86+K89)*'Tabellen PO-Raad'!$D$33),2),0)</f>
        <v>211.08</v>
      </c>
      <c r="L87" s="299">
        <f>IF(L$21&lt;&gt;"[leeg]",ROUND(IF((L$86+L89)*'Tabellen PO-Raad'!$D$33&lt;L84*'Tabellen PO-Raad'!$D$35,L84*'Tabellen PO-Raad'!$D$35,(L$86+L89)*'Tabellen PO-Raad'!$D$33),2),0)</f>
        <v>211.08</v>
      </c>
      <c r="M87" s="299">
        <f>IF(M$21&lt;&gt;"[leeg]",ROUND(IF((M$86+M89)*'Tabellen PO-Raad'!$D$33&lt;M84*'Tabellen PO-Raad'!$D$35,M84*'Tabellen PO-Raad'!$D$35,(M$86+M89)*'Tabellen PO-Raad'!$D$33),2),0)</f>
        <v>211.08</v>
      </c>
      <c r="N87" s="299">
        <f>IF(N$21&lt;&gt;"[leeg]",ROUND(IF((N$86+N89)*'Tabellen PO-Raad'!$D$33&lt;N84*'Tabellen PO-Raad'!$D$35,N84*'Tabellen PO-Raad'!$D$35,(N$86+N89)*'Tabellen PO-Raad'!$D$33),2),0)</f>
        <v>0</v>
      </c>
      <c r="O87" s="299">
        <f>IF(O$21&lt;&gt;"[leeg]",ROUND(IF((O$86+O89)*'Tabellen PO-Raad'!$D$33&lt;O84*'Tabellen PO-Raad'!$D$35,O84*'Tabellen PO-Raad'!$D$35,(O$86+O89)*'Tabellen PO-Raad'!$D$33),2),0)</f>
        <v>0</v>
      </c>
      <c r="P87" s="299">
        <f>IF(P$21&lt;&gt;"[leeg]",ROUND(IF((P$86+P89)*'Tabellen PO-Raad'!$D$33&lt;P84*'Tabellen PO-Raad'!$D$35,P84*'Tabellen PO-Raad'!$D$35,(P$86+P89)*'Tabellen PO-Raad'!$D$33),2),0)</f>
        <v>0</v>
      </c>
      <c r="Q87" s="299">
        <f>IF(Q$21&lt;&gt;"[leeg]",ROUND(IF((Q$86+Q89)*'Tabellen PO-Raad'!$D$33&lt;Q84*'Tabellen PO-Raad'!$D$35,Q84*'Tabellen PO-Raad'!$D$35,(Q$86+Q89)*'Tabellen PO-Raad'!$D$33),2),0)</f>
        <v>0</v>
      </c>
      <c r="R87" s="299">
        <f t="shared" ref="R87:R95" si="199">H87*H$27+I87*I$27+J87*J$27+K87*K$27+L87*L$27+M87*M$27+N87*N$27+O87*O$27+P87*P$27+Q87*Q$27</f>
        <v>1028.0797808219179</v>
      </c>
      <c r="S87" s="283"/>
      <c r="T87" s="299">
        <f>ROUND(IF((T$86+T89)*'Tabellen PO-Raad'!$D$33&lt;T84*'Tabellen PO-Raad'!$D$35,T84*'Tabellen PO-Raad'!$D$35,(T$86+T89)*'Tabellen PO-Raad'!$D$33),2)</f>
        <v>362.72</v>
      </c>
      <c r="U87" s="299">
        <f>IF(U$21&lt;&gt;"[leeg]",ROUND(IF((U$86+U89)*'Tabellen PO-Raad'!$D$33&lt;U84*'Tabellen PO-Raad'!$D$35,U84*'Tabellen PO-Raad'!$D$35,(U$86+U89)*'Tabellen PO-Raad'!$D$33),2),0)</f>
        <v>380.56</v>
      </c>
      <c r="V87" s="299">
        <f>IF(V$21&lt;&gt;"[leeg]",ROUND(IF((V$86+V89)*'Tabellen PO-Raad'!$D$33&lt;V84*'Tabellen PO-Raad'!$D$35,V84*'Tabellen PO-Raad'!$D$35,(V$86+V89)*'Tabellen PO-Raad'!$D$33),2),0)</f>
        <v>400.32</v>
      </c>
      <c r="W87" s="299">
        <f>IF(W$21&lt;&gt;"[leeg]",ROUND(IF((W$86+W89)*'Tabellen PO-Raad'!$D$33&lt;W84*'Tabellen PO-Raad'!$D$35,W84*'Tabellen PO-Raad'!$D$35,(W$86+W89)*'Tabellen PO-Raad'!$D$33),2),0)</f>
        <v>422.16</v>
      </c>
      <c r="X87" s="299">
        <f>IF(X$21&lt;&gt;"[leeg]",ROUND(IF((X$86+X89)*'Tabellen PO-Raad'!$D$33&lt;X84*'Tabellen PO-Raad'!$D$35,X84*'Tabellen PO-Raad'!$D$35,(X$86+X89)*'Tabellen PO-Raad'!$D$33),2),0)</f>
        <v>422.16</v>
      </c>
      <c r="Y87" s="299">
        <f>IF(Y$21&lt;&gt;"[leeg]",ROUND(IF((Y$86+Y89)*'Tabellen PO-Raad'!$D$33&lt;Y84*'Tabellen PO-Raad'!$D$35,Y84*'Tabellen PO-Raad'!$D$35,(Y$86+Y89)*'Tabellen PO-Raad'!$D$33),2),0)</f>
        <v>422.16</v>
      </c>
      <c r="Z87" s="299">
        <f>IF(Z$21&lt;&gt;"[leeg]",ROUND(IF((Z$86+Z89)*'Tabellen PO-Raad'!$D$33&lt;Z84*'Tabellen PO-Raad'!$D$35,Z84*'Tabellen PO-Raad'!$D$35,(Z$86+Z89)*'Tabellen PO-Raad'!$D$33),2),0)</f>
        <v>0</v>
      </c>
      <c r="AA87" s="299">
        <f>IF(AA$21&lt;&gt;"[leeg]",ROUND(IF((AA$86+AA89)*'Tabellen PO-Raad'!$D$33&lt;AA84*'Tabellen PO-Raad'!$D$35,AA84*'Tabellen PO-Raad'!$D$35,(AA$86+AA89)*'Tabellen PO-Raad'!$D$33),2),0)</f>
        <v>0</v>
      </c>
      <c r="AB87" s="299">
        <f>IF(AB$21&lt;&gt;"[leeg]",ROUND(IF((AB$86+AB89)*'Tabellen PO-Raad'!$D$33&lt;AB84*'Tabellen PO-Raad'!$D$35,AB84*'Tabellen PO-Raad'!$D$35,(AB$86+AB89)*'Tabellen PO-Raad'!$D$33),2),0)</f>
        <v>0</v>
      </c>
      <c r="AC87" s="299">
        <f>IF(AC$21&lt;&gt;"[leeg]",ROUND(IF((AC$86+AC89)*'Tabellen PO-Raad'!$D$33&lt;AC84*'Tabellen PO-Raad'!$D$35,AC84*'Tabellen PO-Raad'!$D$35,(AC$86+AC89)*'Tabellen PO-Raad'!$D$33),2),0)</f>
        <v>0</v>
      </c>
      <c r="AD87" s="299">
        <f t="shared" si="186"/>
        <v>2056.1595616438358</v>
      </c>
      <c r="AE87" s="283"/>
      <c r="AF87" s="299">
        <f>+H87*12</f>
        <v>2176.3200000000002</v>
      </c>
      <c r="AG87" s="299">
        <f t="shared" ref="AG87:AG92" si="200">+I87*12</f>
        <v>2283.36</v>
      </c>
      <c r="AH87" s="299">
        <f t="shared" ref="AH87:AH92" si="201">+J87*12</f>
        <v>2401.92</v>
      </c>
      <c r="AI87" s="299">
        <f t="shared" ref="AI87:AI92" si="202">+K87*12</f>
        <v>2532.96</v>
      </c>
      <c r="AJ87" s="299">
        <f t="shared" ref="AJ87:AJ92" si="203">+L87*12</f>
        <v>2532.96</v>
      </c>
      <c r="AK87" s="299">
        <f t="shared" ref="AK87:AK92" si="204">+M87*12</f>
        <v>2532.96</v>
      </c>
      <c r="AL87" s="299">
        <f t="shared" ref="AL87:AL92" si="205">+N87*12</f>
        <v>0</v>
      </c>
      <c r="AM87" s="299">
        <f t="shared" ref="AM87:AM92" si="206">+O87*12</f>
        <v>0</v>
      </c>
      <c r="AN87" s="299">
        <f t="shared" ref="AN87:AN92" si="207">+P87*12</f>
        <v>0</v>
      </c>
      <c r="AO87" s="299">
        <f t="shared" ref="AO87:AO92" si="208">+Q87*12</f>
        <v>0</v>
      </c>
      <c r="AP87" s="299">
        <f t="shared" si="196"/>
        <v>12336.957369863014</v>
      </c>
      <c r="AQ87" s="283"/>
      <c r="AR87" s="428">
        <f t="shared" ref="AR87:AR92" si="209">T87*12</f>
        <v>4352.6400000000003</v>
      </c>
      <c r="AS87" s="428">
        <f t="shared" si="197"/>
        <v>4566.72</v>
      </c>
      <c r="AT87" s="428">
        <f t="shared" si="197"/>
        <v>4803.84</v>
      </c>
      <c r="AU87" s="428">
        <f t="shared" si="197"/>
        <v>5065.92</v>
      </c>
      <c r="AV87" s="428">
        <f t="shared" si="197"/>
        <v>5065.92</v>
      </c>
      <c r="AW87" s="428">
        <f t="shared" si="197"/>
        <v>5065.92</v>
      </c>
      <c r="AX87" s="428">
        <f t="shared" si="197"/>
        <v>0</v>
      </c>
      <c r="AY87" s="428">
        <f t="shared" si="197"/>
        <v>0</v>
      </c>
      <c r="AZ87" s="428">
        <f t="shared" si="197"/>
        <v>0</v>
      </c>
      <c r="BA87" s="428">
        <f t="shared" si="197"/>
        <v>0</v>
      </c>
      <c r="BB87" s="299">
        <f t="shared" si="198"/>
        <v>24673.914739726028</v>
      </c>
      <c r="BC87" s="11"/>
      <c r="BF87" s="32"/>
      <c r="BG87" s="32"/>
      <c r="BH87" s="32"/>
    </row>
    <row r="88" spans="2:82" s="16" customFormat="1" ht="12.95" customHeight="1" thickTop="1" thickBot="1" x14ac:dyDescent="0.25">
      <c r="B88" s="11"/>
      <c r="C88" s="26" t="s">
        <v>21</v>
      </c>
      <c r="D88" s="26"/>
      <c r="E88" s="17"/>
      <c r="F88" s="586"/>
      <c r="G88" s="590"/>
      <c r="H88" s="430">
        <f>ROUND((H$86+H89)*'Tabellen PO-Raad'!$D$36,2)</f>
        <v>188.84</v>
      </c>
      <c r="I88" s="299">
        <f>IF(I$21&lt;&gt;"[leeg]",ROUND((I$86+I89)*'Tabellen PO-Raad'!$D$36,2),0)</f>
        <v>198.13</v>
      </c>
      <c r="J88" s="299">
        <f>IF(J$21&lt;&gt;"[leeg]",ROUND((J$86+J89)*'Tabellen PO-Raad'!$D$36,2),0)</f>
        <v>208.42</v>
      </c>
      <c r="K88" s="299">
        <f>IF(K$21&lt;&gt;"[leeg]",ROUND((K$86+K89)*'Tabellen PO-Raad'!$D$36,2),0)</f>
        <v>219.79</v>
      </c>
      <c r="L88" s="299">
        <f>IF(L$21&lt;&gt;"[leeg]",ROUND((L$86+L89)*'Tabellen PO-Raad'!$D$36,2),0)</f>
        <v>219.79</v>
      </c>
      <c r="M88" s="299">
        <f>IF(M$21&lt;&gt;"[leeg]",ROUND((M$86+M89)*'Tabellen PO-Raad'!$D$36,2),0)</f>
        <v>219.79</v>
      </c>
      <c r="N88" s="299">
        <f>IF(N$21&lt;&gt;"[leeg]",ROUND((N$86+N89)*'Tabellen PO-Raad'!$D$36,2),0)</f>
        <v>0</v>
      </c>
      <c r="O88" s="299">
        <f>IF(O$21&lt;&gt;"[leeg]",ROUND((O$86+O89)*'Tabellen PO-Raad'!$D$36,2),0)</f>
        <v>0</v>
      </c>
      <c r="P88" s="299">
        <f>IF(P$21&lt;&gt;"[leeg]",ROUND((P$86+P89)*'Tabellen PO-Raad'!$D$36,2),0)</f>
        <v>0</v>
      </c>
      <c r="Q88" s="299">
        <f>IF(Q$21&lt;&gt;"[leeg]",ROUND((Q$86+Q89)*'Tabellen PO-Raad'!$D$36,2),0)</f>
        <v>0</v>
      </c>
      <c r="R88" s="299">
        <f t="shared" si="199"/>
        <v>1070.4976986301369</v>
      </c>
      <c r="S88" s="283"/>
      <c r="T88" s="299">
        <f>ROUND((T$86+T89)*'Tabellen PO-Raad'!$D$36,2)</f>
        <v>377.68</v>
      </c>
      <c r="U88" s="299">
        <f>IF(U$21&lt;&gt;"[leeg]",ROUND((U$86+U89)*'Tabellen PO-Raad'!$D$36,2),0)</f>
        <v>396.26</v>
      </c>
      <c r="V88" s="299">
        <f>IF(V$21&lt;&gt;"[leeg]",ROUND((V$86+V89)*'Tabellen PO-Raad'!$D$36,2),0)</f>
        <v>416.83</v>
      </c>
      <c r="W88" s="299">
        <f>IF(W$21&lt;&gt;"[leeg]",ROUND((W$86+W89)*'Tabellen PO-Raad'!$D$36,2),0)</f>
        <v>439.57</v>
      </c>
      <c r="X88" s="299">
        <f>IF(X$21&lt;&gt;"[leeg]",ROUND((X$86+X89)*'Tabellen PO-Raad'!$D$36,2),0)</f>
        <v>439.57</v>
      </c>
      <c r="Y88" s="299">
        <f>IF(Y$21&lt;&gt;"[leeg]",ROUND((Y$86+Y89)*'Tabellen PO-Raad'!$D$36,2),0)</f>
        <v>439.57</v>
      </c>
      <c r="Z88" s="299">
        <f>IF(Z$21&lt;&gt;"[leeg]",ROUND((Z$86+Z89)*'Tabellen PO-Raad'!$D$36,2),0)</f>
        <v>0</v>
      </c>
      <c r="AA88" s="299">
        <f>IF(AA$21&lt;&gt;"[leeg]",ROUND((AA$86+AA89)*'Tabellen PO-Raad'!$D$36,2),0)</f>
        <v>0</v>
      </c>
      <c r="AB88" s="299">
        <f>IF(AB$21&lt;&gt;"[leeg]",ROUND((AB$86+AB89)*'Tabellen PO-Raad'!$D$36,2),0)</f>
        <v>0</v>
      </c>
      <c r="AC88" s="299">
        <f>IF(AC$21&lt;&gt;"[leeg]",ROUND((AC$86+AC89)*'Tabellen PO-Raad'!$D$36,2),0)</f>
        <v>0</v>
      </c>
      <c r="AD88" s="299">
        <f t="shared" si="186"/>
        <v>2140.9637808219177</v>
      </c>
      <c r="AE88" s="283"/>
      <c r="AF88" s="299">
        <f>+H88*12</f>
        <v>2266.08</v>
      </c>
      <c r="AG88" s="299">
        <f t="shared" si="200"/>
        <v>2377.56</v>
      </c>
      <c r="AH88" s="299">
        <f t="shared" si="201"/>
        <v>2501.04</v>
      </c>
      <c r="AI88" s="299">
        <f t="shared" si="202"/>
        <v>2637.48</v>
      </c>
      <c r="AJ88" s="299">
        <f t="shared" si="203"/>
        <v>2637.48</v>
      </c>
      <c r="AK88" s="299">
        <f t="shared" si="204"/>
        <v>2637.48</v>
      </c>
      <c r="AL88" s="299">
        <f t="shared" si="205"/>
        <v>0</v>
      </c>
      <c r="AM88" s="299">
        <f t="shared" si="206"/>
        <v>0</v>
      </c>
      <c r="AN88" s="299">
        <f t="shared" si="207"/>
        <v>0</v>
      </c>
      <c r="AO88" s="299">
        <f t="shared" si="208"/>
        <v>0</v>
      </c>
      <c r="AP88" s="299">
        <f t="shared" si="196"/>
        <v>12845.972383561642</v>
      </c>
      <c r="AQ88" s="283"/>
      <c r="AR88" s="428">
        <f t="shared" si="209"/>
        <v>4532.16</v>
      </c>
      <c r="AS88" s="428">
        <f t="shared" si="197"/>
        <v>4755.12</v>
      </c>
      <c r="AT88" s="428">
        <f t="shared" si="197"/>
        <v>5001.96</v>
      </c>
      <c r="AU88" s="428">
        <f t="shared" si="197"/>
        <v>5274.84</v>
      </c>
      <c r="AV88" s="428">
        <f t="shared" si="197"/>
        <v>5274.84</v>
      </c>
      <c r="AW88" s="428">
        <f t="shared" si="197"/>
        <v>5274.84</v>
      </c>
      <c r="AX88" s="428">
        <f t="shared" si="197"/>
        <v>0</v>
      </c>
      <c r="AY88" s="428">
        <f t="shared" si="197"/>
        <v>0</v>
      </c>
      <c r="AZ88" s="428">
        <f t="shared" si="197"/>
        <v>0</v>
      </c>
      <c r="BA88" s="428">
        <f t="shared" si="197"/>
        <v>0</v>
      </c>
      <c r="BB88" s="299">
        <f t="shared" si="198"/>
        <v>25691.565369863012</v>
      </c>
      <c r="BC88" s="11"/>
      <c r="BF88" s="32"/>
      <c r="BG88" s="32"/>
      <c r="BH88" s="32"/>
    </row>
    <row r="89" spans="2:82" s="16" customFormat="1" ht="12.95" customHeight="1" thickTop="1" thickBot="1" x14ac:dyDescent="0.25">
      <c r="B89" s="11"/>
      <c r="C89" s="26" t="s">
        <v>48</v>
      </c>
      <c r="D89" s="26"/>
      <c r="E89" s="17"/>
      <c r="F89" s="586" t="str">
        <f>VLOOKUP(H$23,Saltab2023,23,FALSE)</f>
        <v>DIR</v>
      </c>
      <c r="G89" s="586" t="str">
        <f>IF(F89="OP",IF('Invoer gegevens'!$F$33="ja","ja","nee"),"nee")</f>
        <v>nee</v>
      </c>
      <c r="H89" s="430">
        <f>IF($G89="nee",0,(VLOOKUP(H81,'Tabellen PO-Raad'!$B$25:$C$28,2,FALSE)))</f>
        <v>0</v>
      </c>
      <c r="I89" s="299">
        <f>IF(I$21&lt;&gt;"[leeg]",IF($G89="nee",0,(VLOOKUP(I81,'Tabellen PO-Raad'!$B$25:$C$28,2,FALSE))),0)</f>
        <v>0</v>
      </c>
      <c r="J89" s="299">
        <f>IF(J$21&lt;&gt;"[leeg]",IF($G89="nee",0,(VLOOKUP(J81,'Tabellen PO-Raad'!$B$25:$C$28,2,FALSE))),0)</f>
        <v>0</v>
      </c>
      <c r="K89" s="299">
        <f>IF(K$21&lt;&gt;"[leeg]",IF($G89="nee",0,(VLOOKUP(K81,'Tabellen PO-Raad'!$B$25:$C$28,2,FALSE))),0)</f>
        <v>0</v>
      </c>
      <c r="L89" s="299">
        <f>IF(L$21&lt;&gt;"[leeg]",IF($G89="nee",0,(VLOOKUP(L81,'Tabellen PO-Raad'!$B$25:$C$28,2,FALSE))),0)</f>
        <v>0</v>
      </c>
      <c r="M89" s="299">
        <f>IF(M$21&lt;&gt;"[leeg]",IF($G89="nee",0,(VLOOKUP(M81,'Tabellen PO-Raad'!$B$25:$C$28,2,FALSE))),0)</f>
        <v>0</v>
      </c>
      <c r="N89" s="299">
        <f>IF(N$21&lt;&gt;"[leeg]",IF($G89="nee",0,(VLOOKUP(N81,'Tabellen PO-Raad'!$B$25:$C$28,2,FALSE))),0)</f>
        <v>0</v>
      </c>
      <c r="O89" s="299">
        <f>IF(O$21&lt;&gt;"[leeg]",IF($G89="nee",0,(VLOOKUP(O81,'Tabellen PO-Raad'!$B$25:$C$28,2,FALSE))),0)</f>
        <v>0</v>
      </c>
      <c r="P89" s="299">
        <f>IF(P$21&lt;&gt;"[leeg]",IF($G89="nee",0,(VLOOKUP(P81,'Tabellen PO-Raad'!$B$25:$C$28,2,FALSE))),0)</f>
        <v>0</v>
      </c>
      <c r="Q89" s="299">
        <f>IF(Q$21&lt;&gt;"[leeg]",IF($G89="nee",0,(VLOOKUP(Q81,'Tabellen PO-Raad'!$B$25:$C$28,2,FALSE))),0)</f>
        <v>0</v>
      </c>
      <c r="R89" s="299">
        <f t="shared" si="199"/>
        <v>0</v>
      </c>
      <c r="S89" s="283"/>
      <c r="T89" s="299">
        <f>IF($G89="nee",0,(VLOOKUP(T81,'Tabellen PO-Raad'!$B$25:$C$28,2,FALSE)))</f>
        <v>0</v>
      </c>
      <c r="U89" s="299">
        <f>IF(U$21&lt;&gt;"[leeg]",IF($G89="nee",0,(VLOOKUP(U81,'Tabellen PO-Raad'!$B$25:$C$28,2,FALSE))),0)</f>
        <v>0</v>
      </c>
      <c r="V89" s="299">
        <f>IF(V$21&lt;&gt;"[leeg]",IF($G89="nee",0,(VLOOKUP(V81,'Tabellen PO-Raad'!$B$25:$C$28,2,FALSE))),0)</f>
        <v>0</v>
      </c>
      <c r="W89" s="299">
        <f>IF(W$21&lt;&gt;"[leeg]",IF($G89="nee",0,(VLOOKUP(W81,'Tabellen PO-Raad'!$B$25:$C$28,2,FALSE))),0)</f>
        <v>0</v>
      </c>
      <c r="X89" s="299">
        <f>IF(X$21&lt;&gt;"[leeg]",IF($G89="nee",0,(VLOOKUP(X81,'Tabellen PO-Raad'!$B$25:$C$28,2,FALSE))),0)</f>
        <v>0</v>
      </c>
      <c r="Y89" s="299">
        <f>IF(Y$21&lt;&gt;"[leeg]",IF($G89="nee",0,(VLOOKUP(Y81,'Tabellen PO-Raad'!$B$25:$C$28,2,FALSE))),0)</f>
        <v>0</v>
      </c>
      <c r="Z89" s="299">
        <f>IF(Z$21&lt;&gt;"[leeg]",IF($G89="nee",0,(VLOOKUP(Z81,'Tabellen PO-Raad'!$B$25:$C$28,2,FALSE))),0)</f>
        <v>0</v>
      </c>
      <c r="AA89" s="299">
        <f>IF(AA$21&lt;&gt;"[leeg]",IF($G89="nee",0,(VLOOKUP(AA81,'Tabellen PO-Raad'!$B$25:$C$28,2,FALSE))),0)</f>
        <v>0</v>
      </c>
      <c r="AB89" s="299">
        <f>IF(AB$21&lt;&gt;"[leeg]",IF($G89="nee",0,(VLOOKUP(AB81,'Tabellen PO-Raad'!$B$25:$C$28,2,FALSE))),0)</f>
        <v>0</v>
      </c>
      <c r="AC89" s="299">
        <f>IF(AC$21&lt;&gt;"[leeg]",IF($G89="nee",0,(VLOOKUP(AC81,'Tabellen PO-Raad'!$B$25:$C$28,2,FALSE))),0)</f>
        <v>0</v>
      </c>
      <c r="AD89" s="299">
        <f t="shared" si="186"/>
        <v>0</v>
      </c>
      <c r="AE89" s="283"/>
      <c r="AF89" s="299">
        <f>+H89*12</f>
        <v>0</v>
      </c>
      <c r="AG89" s="299">
        <f t="shared" si="200"/>
        <v>0</v>
      </c>
      <c r="AH89" s="299">
        <f t="shared" si="201"/>
        <v>0</v>
      </c>
      <c r="AI89" s="299">
        <f t="shared" si="202"/>
        <v>0</v>
      </c>
      <c r="AJ89" s="299">
        <f t="shared" si="203"/>
        <v>0</v>
      </c>
      <c r="AK89" s="299">
        <f t="shared" si="204"/>
        <v>0</v>
      </c>
      <c r="AL89" s="299">
        <f t="shared" si="205"/>
        <v>0</v>
      </c>
      <c r="AM89" s="299">
        <f t="shared" si="206"/>
        <v>0</v>
      </c>
      <c r="AN89" s="299">
        <f t="shared" si="207"/>
        <v>0</v>
      </c>
      <c r="AO89" s="299">
        <f t="shared" si="208"/>
        <v>0</v>
      </c>
      <c r="AP89" s="299">
        <f t="shared" si="196"/>
        <v>0</v>
      </c>
      <c r="AQ89" s="283"/>
      <c r="AR89" s="428">
        <f t="shared" si="209"/>
        <v>0</v>
      </c>
      <c r="AS89" s="428">
        <f t="shared" si="197"/>
        <v>0</v>
      </c>
      <c r="AT89" s="428">
        <f t="shared" si="197"/>
        <v>0</v>
      </c>
      <c r="AU89" s="428">
        <f t="shared" si="197"/>
        <v>0</v>
      </c>
      <c r="AV89" s="428">
        <f t="shared" si="197"/>
        <v>0</v>
      </c>
      <c r="AW89" s="428">
        <f t="shared" si="197"/>
        <v>0</v>
      </c>
      <c r="AX89" s="428">
        <f t="shared" si="197"/>
        <v>0</v>
      </c>
      <c r="AY89" s="428">
        <f t="shared" si="197"/>
        <v>0</v>
      </c>
      <c r="AZ89" s="428">
        <f t="shared" si="197"/>
        <v>0</v>
      </c>
      <c r="BA89" s="428">
        <f t="shared" si="197"/>
        <v>0</v>
      </c>
      <c r="BB89" s="299">
        <f t="shared" si="198"/>
        <v>0</v>
      </c>
      <c r="BC89" s="11"/>
      <c r="BF89" s="32"/>
      <c r="BG89" s="32"/>
      <c r="BH89" s="32"/>
    </row>
    <row r="90" spans="2:82" s="16" customFormat="1" ht="12.95" customHeight="1" thickTop="1" thickBot="1" x14ac:dyDescent="0.25">
      <c r="B90" s="11"/>
      <c r="C90" s="26" t="s">
        <v>287</v>
      </c>
      <c r="D90" s="26"/>
      <c r="E90" s="17"/>
      <c r="F90" s="586" t="str">
        <f>VLOOKUP(H$23,Saltab2023,23,FALSE)</f>
        <v>DIR</v>
      </c>
      <c r="G90" s="586" t="str">
        <f>IF(F90="DIR","ja","nee")</f>
        <v>ja</v>
      </c>
      <c r="H90" s="430">
        <f>ROUND(IF($G90="ja",VLOOKUP(H81,Arbeidsmarkttoelage2023,2)*IF(H$84&gt;1,1,H$84),0),2)</f>
        <v>0</v>
      </c>
      <c r="I90" s="299">
        <f t="shared" ref="I90:Q90" si="210">IF(I$21&lt;&gt;"[leeg]",ROUND(IF($G90="ja",VLOOKUP(I81,Arbeidsmarkttoelage2023,2)*IF(H$84&gt;1,1,H$84),0),2),0)</f>
        <v>0</v>
      </c>
      <c r="J90" s="299">
        <f t="shared" si="210"/>
        <v>0</v>
      </c>
      <c r="K90" s="299">
        <f t="shared" si="210"/>
        <v>0</v>
      </c>
      <c r="L90" s="299">
        <f t="shared" si="210"/>
        <v>0</v>
      </c>
      <c r="M90" s="299">
        <f t="shared" si="210"/>
        <v>0</v>
      </c>
      <c r="N90" s="299">
        <f t="shared" si="210"/>
        <v>0</v>
      </c>
      <c r="O90" s="299">
        <f t="shared" si="210"/>
        <v>0</v>
      </c>
      <c r="P90" s="299">
        <f t="shared" si="210"/>
        <v>0</v>
      </c>
      <c r="Q90" s="299">
        <f t="shared" si="210"/>
        <v>0</v>
      </c>
      <c r="R90" s="299">
        <f t="shared" si="199"/>
        <v>0</v>
      </c>
      <c r="S90" s="283"/>
      <c r="T90" s="299">
        <f>ROUND(IF($G90="ja",VLOOKUP(T81,Arbeidsmarkttoelage2023,2)*IF(T$84&gt;1,1,T$84),0),2)</f>
        <v>0</v>
      </c>
      <c r="U90" s="299">
        <f t="shared" ref="U90:AC90" si="211">IF(U$21&lt;&gt;"[leeg]",ROUND(IF($G90="ja",VLOOKUP(U81,Arbeidsmarkttoelage2023,2)*IF(T$84&gt;1,1,T$84),0),2),0)</f>
        <v>0</v>
      </c>
      <c r="V90" s="299">
        <f t="shared" si="211"/>
        <v>0</v>
      </c>
      <c r="W90" s="299">
        <f t="shared" si="211"/>
        <v>0</v>
      </c>
      <c r="X90" s="299">
        <f t="shared" si="211"/>
        <v>0</v>
      </c>
      <c r="Y90" s="299">
        <f t="shared" si="211"/>
        <v>0</v>
      </c>
      <c r="Z90" s="299">
        <f t="shared" si="211"/>
        <v>0</v>
      </c>
      <c r="AA90" s="299">
        <f t="shared" si="211"/>
        <v>0</v>
      </c>
      <c r="AB90" s="299">
        <f t="shared" si="211"/>
        <v>0</v>
      </c>
      <c r="AC90" s="299">
        <f t="shared" si="211"/>
        <v>0</v>
      </c>
      <c r="AD90" s="299">
        <f t="shared" si="186"/>
        <v>0</v>
      </c>
      <c r="AE90" s="283"/>
      <c r="AF90" s="299">
        <f t="shared" ref="AF90:AF92" si="212">+H90*12</f>
        <v>0</v>
      </c>
      <c r="AG90" s="299">
        <f t="shared" si="200"/>
        <v>0</v>
      </c>
      <c r="AH90" s="299">
        <f t="shared" si="201"/>
        <v>0</v>
      </c>
      <c r="AI90" s="299">
        <f t="shared" si="202"/>
        <v>0</v>
      </c>
      <c r="AJ90" s="299">
        <f t="shared" si="203"/>
        <v>0</v>
      </c>
      <c r="AK90" s="299">
        <f t="shared" si="204"/>
        <v>0</v>
      </c>
      <c r="AL90" s="299">
        <f t="shared" si="205"/>
        <v>0</v>
      </c>
      <c r="AM90" s="299">
        <f t="shared" si="206"/>
        <v>0</v>
      </c>
      <c r="AN90" s="299">
        <f t="shared" si="207"/>
        <v>0</v>
      </c>
      <c r="AO90" s="299">
        <f t="shared" si="208"/>
        <v>0</v>
      </c>
      <c r="AP90" s="299">
        <f t="shared" si="196"/>
        <v>0</v>
      </c>
      <c r="AQ90" s="283"/>
      <c r="AR90" s="304">
        <f t="shared" si="209"/>
        <v>0</v>
      </c>
      <c r="AS90" s="304">
        <f t="shared" si="197"/>
        <v>0</v>
      </c>
      <c r="AT90" s="304">
        <f t="shared" si="197"/>
        <v>0</v>
      </c>
      <c r="AU90" s="304">
        <f t="shared" si="197"/>
        <v>0</v>
      </c>
      <c r="AV90" s="304">
        <f t="shared" si="197"/>
        <v>0</v>
      </c>
      <c r="AW90" s="304">
        <f t="shared" si="197"/>
        <v>0</v>
      </c>
      <c r="AX90" s="304">
        <f t="shared" si="197"/>
        <v>0</v>
      </c>
      <c r="AY90" s="304">
        <f t="shared" si="197"/>
        <v>0</v>
      </c>
      <c r="AZ90" s="304">
        <f t="shared" si="197"/>
        <v>0</v>
      </c>
      <c r="BA90" s="304">
        <f t="shared" si="197"/>
        <v>0</v>
      </c>
      <c r="BB90" s="299">
        <f t="shared" si="198"/>
        <v>0</v>
      </c>
      <c r="BC90" s="11"/>
      <c r="BF90" s="32"/>
      <c r="BG90" s="32"/>
      <c r="BH90" s="32"/>
    </row>
    <row r="91" spans="2:82" s="16" customFormat="1" ht="12.95" customHeight="1" thickTop="1" thickBot="1" x14ac:dyDescent="0.25">
      <c r="B91" s="11"/>
      <c r="C91" s="26" t="s">
        <v>354</v>
      </c>
      <c r="D91" s="26"/>
      <c r="E91" s="17"/>
      <c r="F91" s="586">
        <f>IF(AF81=100,H81,0)</f>
        <v>0</v>
      </c>
      <c r="G91" s="586" t="str">
        <f>IF(F90="OOP","ja","nee")</f>
        <v>nee</v>
      </c>
      <c r="H91" s="430">
        <f>IF(H92&gt;0,0,ROUND(IF($G91="ja",IF($H80&lt;9,'Tabellen PO-Raad'!$D$38,'Tabellen PO-Raad'!$D$39)*IF(H$26&gt;1,1,H$26),0),2))</f>
        <v>0</v>
      </c>
      <c r="I91" s="430">
        <f>IF(I$21&lt;&gt;"[leeg]",IF(I92&gt;0,0,ROUND(IF($G91="ja",IF($H80&lt;9,'Tabellen PO-Raad'!$D$38,'Tabellen PO-Raad'!$D$39)*IF(I$26&gt;1,1,I$26),0),2)),0)</f>
        <v>0</v>
      </c>
      <c r="J91" s="430">
        <f>IF(J$21&lt;&gt;"[leeg]",IF(J92&gt;0,0,ROUND(IF($G91="ja",IF($H80&lt;9,'Tabellen PO-Raad'!$D$38,'Tabellen PO-Raad'!$D$39)*IF(J$26&gt;1,1,J$26),0),2)),0)</f>
        <v>0</v>
      </c>
      <c r="K91" s="430">
        <f>IF(K$21&lt;&gt;"[leeg]",IF(K92&gt;0,0,ROUND(IF($G91="ja",IF($H80&lt;9,'Tabellen PO-Raad'!$D$38,'Tabellen PO-Raad'!$D$39)*IF(K$26&gt;1,1,K$26),0),2)),0)</f>
        <v>0</v>
      </c>
      <c r="L91" s="430">
        <f>IF(L$21&lt;&gt;"[leeg]",IF(L92&gt;0,0,ROUND(IF($G91="ja",IF($H80&lt;9,'Tabellen PO-Raad'!$D$38,'Tabellen PO-Raad'!$D$39)*IF(L$26&gt;1,1,L$26),0),2)),0)</f>
        <v>0</v>
      </c>
      <c r="M91" s="430">
        <f>IF(M$21&lt;&gt;"[leeg]",IF(M92&gt;0,0,ROUND(IF($G91="ja",IF($H80&lt;9,'Tabellen PO-Raad'!$D$38,'Tabellen PO-Raad'!$D$39)*IF(M$26&gt;1,1,M$26),0),2)),0)</f>
        <v>0</v>
      </c>
      <c r="N91" s="430">
        <f>IF(N$21&lt;&gt;"[leeg]",IF(N92&gt;0,0,ROUND(IF($G91="ja",IF($H80&lt;9,'Tabellen PO-Raad'!$D$38,'Tabellen PO-Raad'!$D$39)*IF(N$26&gt;1,1,N$26),0),2)),0)</f>
        <v>0</v>
      </c>
      <c r="O91" s="430">
        <f>IF(O$21&lt;&gt;"[leeg]",IF(O92&gt;0,0,ROUND(IF($G91="ja",IF($H80&lt;9,'Tabellen PO-Raad'!$D$38,'Tabellen PO-Raad'!$D$39)*IF(O$26&gt;1,1,O$26),0),2)),0)</f>
        <v>0</v>
      </c>
      <c r="P91" s="430">
        <f>IF(P$21&lt;&gt;"[leeg]",IF(P92&gt;0,0,ROUND(IF($G91="ja",IF($H80&lt;9,'Tabellen PO-Raad'!$D$38,'Tabellen PO-Raad'!$D$39)*IF(P$26&gt;1,1,P$26),0),2)),0)</f>
        <v>0</v>
      </c>
      <c r="Q91" s="430">
        <f>IF(Q$21&lt;&gt;"[leeg]",IF(Q92&gt;0,0,ROUND(IF($G91="ja",IF($H80&lt;9,'Tabellen PO-Raad'!$D$38,'Tabellen PO-Raad'!$D$39)*IF(Q$26&gt;1,1,Q$26),0),2)),0)</f>
        <v>0</v>
      </c>
      <c r="R91" s="299">
        <f t="shared" si="199"/>
        <v>0</v>
      </c>
      <c r="S91" s="283"/>
      <c r="T91" s="430">
        <f>IF(T92&gt;0,0,ROUND(IF($G91="ja",IF($H80&lt;9,'Tabellen PO-Raad'!$D$38,'Tabellen PO-Raad'!$D$39)*IF(T$26&gt;1,1,T$26),0),2))</f>
        <v>0</v>
      </c>
      <c r="U91" s="430">
        <f>IF(U$21&lt;&gt;"[leeg]",IF(U92&gt;0,0,ROUND(IF($G91="ja",IF($H80&lt;9,'Tabellen PO-Raad'!$D$38,'Tabellen PO-Raad'!$D$39)*IF(U$26&gt;1,1,U$26),0),2)),0)</f>
        <v>0</v>
      </c>
      <c r="V91" s="430">
        <f>IF(V$21&lt;&gt;"[leeg]",IF(V92&gt;0,0,ROUND(IF($G91="ja",IF($H80&lt;9,'Tabellen PO-Raad'!$D$38,'Tabellen PO-Raad'!$D$39)*IF(V$26&gt;1,1,V$26),0),2)),0)</f>
        <v>0</v>
      </c>
      <c r="W91" s="430">
        <f>IF(W$21&lt;&gt;"[leeg]",IF(W92&gt;0,0,ROUND(IF($G91="ja",IF($H80&lt;9,'Tabellen PO-Raad'!$D$38,'Tabellen PO-Raad'!$D$39)*IF(W$26&gt;1,1,W$26),0),2)),0)</f>
        <v>0</v>
      </c>
      <c r="X91" s="430">
        <f>IF(X$21&lt;&gt;"[leeg]",IF(X92&gt;0,0,ROUND(IF($G91="ja",IF($H80&lt;9,'Tabellen PO-Raad'!$D$38,'Tabellen PO-Raad'!$D$39)*IF(X$26&gt;1,1,X$26),0),2)),0)</f>
        <v>0</v>
      </c>
      <c r="Y91" s="430">
        <f>IF(Y$21&lt;&gt;"[leeg]",IF(Y92&gt;0,0,ROUND(IF($G91="ja",IF($H80&lt;9,'Tabellen PO-Raad'!$D$38,'Tabellen PO-Raad'!$D$39)*IF(Y$26&gt;1,1,Y$26),0),2)),0)</f>
        <v>0</v>
      </c>
      <c r="Z91" s="430">
        <f>IF(Z$21&lt;&gt;"[leeg]",IF(Z92&gt;0,0,ROUND(IF($G91="ja",IF($H80&lt;9,'Tabellen PO-Raad'!$D$38,'Tabellen PO-Raad'!$D$39)*IF(Z$26&gt;1,1,Z$26),0),2)),0)</f>
        <v>0</v>
      </c>
      <c r="AA91" s="430">
        <f>IF(AA$21&lt;&gt;"[leeg]",IF(AA92&gt;0,0,ROUND(IF($G91="ja",IF($H80&lt;9,'Tabellen PO-Raad'!$D$38,'Tabellen PO-Raad'!$D$39)*IF(AA$26&gt;1,1,AA$26),0),2)),0)</f>
        <v>0</v>
      </c>
      <c r="AB91" s="430">
        <f>IF(AB$21&lt;&gt;"[leeg]",IF(AB92&gt;0,0,ROUND(IF($G91="ja",IF($H80&lt;9,'Tabellen PO-Raad'!$D$38,'Tabellen PO-Raad'!$D$39)*IF(AB$26&gt;1,1,AB$26),0),2)),0)</f>
        <v>0</v>
      </c>
      <c r="AC91" s="430">
        <f>IF(AC$21&lt;&gt;"[leeg]",IF(AC92&gt;0,0,ROUND(IF($G91="ja",IF($H80&lt;9,'Tabellen PO-Raad'!$D$38,'Tabellen PO-Raad'!$D$39)*IF(AC$26&gt;1,1,AC$26),0),2)),0)</f>
        <v>0</v>
      </c>
      <c r="AD91" s="299">
        <f t="shared" si="186"/>
        <v>0</v>
      </c>
      <c r="AE91" s="283"/>
      <c r="AF91" s="299">
        <f t="shared" si="212"/>
        <v>0</v>
      </c>
      <c r="AG91" s="299">
        <f t="shared" si="200"/>
        <v>0</v>
      </c>
      <c r="AH91" s="299">
        <f t="shared" si="201"/>
        <v>0</v>
      </c>
      <c r="AI91" s="299">
        <f t="shared" si="202"/>
        <v>0</v>
      </c>
      <c r="AJ91" s="299">
        <f t="shared" si="203"/>
        <v>0</v>
      </c>
      <c r="AK91" s="299">
        <f t="shared" si="204"/>
        <v>0</v>
      </c>
      <c r="AL91" s="299">
        <f t="shared" si="205"/>
        <v>0</v>
      </c>
      <c r="AM91" s="299">
        <f t="shared" si="206"/>
        <v>0</v>
      </c>
      <c r="AN91" s="299">
        <f t="shared" si="207"/>
        <v>0</v>
      </c>
      <c r="AO91" s="299">
        <f t="shared" si="208"/>
        <v>0</v>
      </c>
      <c r="AP91" s="299">
        <f t="shared" si="196"/>
        <v>0</v>
      </c>
      <c r="AQ91" s="283"/>
      <c r="AR91" s="304">
        <f t="shared" si="209"/>
        <v>0</v>
      </c>
      <c r="AS91" s="304">
        <f t="shared" si="197"/>
        <v>0</v>
      </c>
      <c r="AT91" s="304">
        <f t="shared" si="197"/>
        <v>0</v>
      </c>
      <c r="AU91" s="304">
        <f t="shared" si="197"/>
        <v>0</v>
      </c>
      <c r="AV91" s="304">
        <f t="shared" si="197"/>
        <v>0</v>
      </c>
      <c r="AW91" s="304">
        <f t="shared" si="197"/>
        <v>0</v>
      </c>
      <c r="AX91" s="304">
        <f t="shared" si="197"/>
        <v>0</v>
      </c>
      <c r="AY91" s="304">
        <f t="shared" si="197"/>
        <v>0</v>
      </c>
      <c r="AZ91" s="304">
        <f t="shared" si="197"/>
        <v>0</v>
      </c>
      <c r="BA91" s="304">
        <f t="shared" si="197"/>
        <v>0</v>
      </c>
      <c r="BB91" s="299">
        <f t="shared" si="198"/>
        <v>0</v>
      </c>
      <c r="BC91" s="11"/>
      <c r="BF91" s="32"/>
      <c r="BG91" s="32"/>
      <c r="BH91" s="32"/>
    </row>
    <row r="92" spans="2:82" s="16" customFormat="1" ht="12.95" customHeight="1" thickTop="1" thickBot="1" x14ac:dyDescent="0.25">
      <c r="B92" s="11"/>
      <c r="C92" s="26" t="s">
        <v>355</v>
      </c>
      <c r="D92" s="26"/>
      <c r="E92" s="17"/>
      <c r="F92" s="591" t="str">
        <f>H81&amp;H82</f>
        <v>LB9</v>
      </c>
      <c r="G92" s="587" t="e">
        <f>VLOOKUP(F92,'Tabellen PO-Raad'!$C$52:$D$73,2,FALSE)</f>
        <v>#N/A</v>
      </c>
      <c r="H92" s="430">
        <f>_xlfn.IFNA($G92*H$84,0)</f>
        <v>0</v>
      </c>
      <c r="I92" s="299">
        <f t="shared" ref="I92:Q92" si="213">IF(I$21&lt;&gt;"[leeg]",_xlfn.IFNA($G92*I$84,0),0)</f>
        <v>0</v>
      </c>
      <c r="J92" s="299">
        <f t="shared" si="213"/>
        <v>0</v>
      </c>
      <c r="K92" s="299">
        <f t="shared" si="213"/>
        <v>0</v>
      </c>
      <c r="L92" s="299">
        <f t="shared" si="213"/>
        <v>0</v>
      </c>
      <c r="M92" s="299">
        <f t="shared" si="213"/>
        <v>0</v>
      </c>
      <c r="N92" s="299">
        <f t="shared" si="213"/>
        <v>0</v>
      </c>
      <c r="O92" s="299">
        <f t="shared" si="213"/>
        <v>0</v>
      </c>
      <c r="P92" s="299">
        <f t="shared" si="213"/>
        <v>0</v>
      </c>
      <c r="Q92" s="299">
        <f t="shared" si="213"/>
        <v>0</v>
      </c>
      <c r="R92" s="299">
        <f t="shared" si="199"/>
        <v>0</v>
      </c>
      <c r="S92" s="283"/>
      <c r="T92" s="299">
        <f>_xlfn.IFNA($G92*T$84,0)</f>
        <v>0</v>
      </c>
      <c r="U92" s="299">
        <f t="shared" ref="U92:AC92" si="214">IF(U$21&lt;&gt;"[leeg]",_xlfn.IFNA($G92*U$84,0),0)</f>
        <v>0</v>
      </c>
      <c r="V92" s="299">
        <f t="shared" si="214"/>
        <v>0</v>
      </c>
      <c r="W92" s="299">
        <f t="shared" si="214"/>
        <v>0</v>
      </c>
      <c r="X92" s="299">
        <f t="shared" si="214"/>
        <v>0</v>
      </c>
      <c r="Y92" s="299">
        <f t="shared" si="214"/>
        <v>0</v>
      </c>
      <c r="Z92" s="299">
        <f t="shared" si="214"/>
        <v>0</v>
      </c>
      <c r="AA92" s="299">
        <f t="shared" si="214"/>
        <v>0</v>
      </c>
      <c r="AB92" s="299">
        <f t="shared" si="214"/>
        <v>0</v>
      </c>
      <c r="AC92" s="299">
        <f t="shared" si="214"/>
        <v>0</v>
      </c>
      <c r="AD92" s="299">
        <f t="shared" si="186"/>
        <v>0</v>
      </c>
      <c r="AE92" s="283"/>
      <c r="AF92" s="299">
        <f t="shared" si="212"/>
        <v>0</v>
      </c>
      <c r="AG92" s="299">
        <f t="shared" si="200"/>
        <v>0</v>
      </c>
      <c r="AH92" s="299">
        <f t="shared" si="201"/>
        <v>0</v>
      </c>
      <c r="AI92" s="299">
        <f t="shared" si="202"/>
        <v>0</v>
      </c>
      <c r="AJ92" s="299">
        <f t="shared" si="203"/>
        <v>0</v>
      </c>
      <c r="AK92" s="299">
        <f t="shared" si="204"/>
        <v>0</v>
      </c>
      <c r="AL92" s="299">
        <f t="shared" si="205"/>
        <v>0</v>
      </c>
      <c r="AM92" s="299">
        <f t="shared" si="206"/>
        <v>0</v>
      </c>
      <c r="AN92" s="299">
        <f t="shared" si="207"/>
        <v>0</v>
      </c>
      <c r="AO92" s="299">
        <f t="shared" si="208"/>
        <v>0</v>
      </c>
      <c r="AP92" s="299">
        <f t="shared" si="196"/>
        <v>0</v>
      </c>
      <c r="AQ92" s="283"/>
      <c r="AR92" s="304">
        <f t="shared" si="209"/>
        <v>0</v>
      </c>
      <c r="AS92" s="304">
        <f t="shared" si="197"/>
        <v>0</v>
      </c>
      <c r="AT92" s="304">
        <f t="shared" si="197"/>
        <v>0</v>
      </c>
      <c r="AU92" s="304">
        <f t="shared" si="197"/>
        <v>0</v>
      </c>
      <c r="AV92" s="304">
        <f t="shared" si="197"/>
        <v>0</v>
      </c>
      <c r="AW92" s="304">
        <f t="shared" si="197"/>
        <v>0</v>
      </c>
      <c r="AX92" s="304">
        <f t="shared" si="197"/>
        <v>0</v>
      </c>
      <c r="AY92" s="304">
        <f t="shared" si="197"/>
        <v>0</v>
      </c>
      <c r="AZ92" s="304">
        <f t="shared" si="197"/>
        <v>0</v>
      </c>
      <c r="BA92" s="304">
        <f t="shared" si="197"/>
        <v>0</v>
      </c>
      <c r="BB92" s="299">
        <f t="shared" si="198"/>
        <v>0</v>
      </c>
      <c r="BC92" s="11"/>
      <c r="BF92" s="32"/>
      <c r="BG92" s="32"/>
      <c r="BH92" s="32"/>
    </row>
    <row r="93" spans="2:82" s="16" customFormat="1" ht="12.95" customHeight="1" collapsed="1" thickTop="1" thickBot="1" x14ac:dyDescent="0.25">
      <c r="B93" s="11"/>
      <c r="C93" s="28" t="s">
        <v>82</v>
      </c>
      <c r="D93" s="28"/>
      <c r="E93" s="81"/>
      <c r="F93" s="591"/>
      <c r="G93" s="592"/>
      <c r="H93" s="429">
        <f t="shared" ref="H93" si="215">SUM(H87:H92)</f>
        <v>370.20000000000005</v>
      </c>
      <c r="I93" s="304">
        <f t="shared" ref="I93:Q93" si="216">SUM(I87:I92)</f>
        <v>388.40999999999997</v>
      </c>
      <c r="J93" s="304">
        <f t="shared" si="216"/>
        <v>408.58</v>
      </c>
      <c r="K93" s="304">
        <f t="shared" si="216"/>
        <v>430.87</v>
      </c>
      <c r="L93" s="304">
        <f t="shared" si="216"/>
        <v>430.87</v>
      </c>
      <c r="M93" s="304">
        <f t="shared" si="216"/>
        <v>430.87</v>
      </c>
      <c r="N93" s="304">
        <f t="shared" si="216"/>
        <v>0</v>
      </c>
      <c r="O93" s="304">
        <f t="shared" si="216"/>
        <v>0</v>
      </c>
      <c r="P93" s="304">
        <f t="shared" si="216"/>
        <v>0</v>
      </c>
      <c r="Q93" s="304">
        <f t="shared" si="216"/>
        <v>0</v>
      </c>
      <c r="R93" s="304">
        <f t="shared" si="199"/>
        <v>2098.5774794520548</v>
      </c>
      <c r="S93" s="283"/>
      <c r="T93" s="304">
        <f t="shared" ref="T93" si="217">SUM(T87:T92)</f>
        <v>740.40000000000009</v>
      </c>
      <c r="U93" s="304">
        <f t="shared" ref="U93:AC93" si="218">SUM(U87:U92)</f>
        <v>776.81999999999994</v>
      </c>
      <c r="V93" s="304">
        <f t="shared" si="218"/>
        <v>817.15</v>
      </c>
      <c r="W93" s="304">
        <f t="shared" si="218"/>
        <v>861.73</v>
      </c>
      <c r="X93" s="304">
        <f t="shared" si="218"/>
        <v>861.73</v>
      </c>
      <c r="Y93" s="304">
        <f t="shared" si="218"/>
        <v>861.73</v>
      </c>
      <c r="Z93" s="304">
        <f t="shared" si="218"/>
        <v>0</v>
      </c>
      <c r="AA93" s="304">
        <f t="shared" si="218"/>
        <v>0</v>
      </c>
      <c r="AB93" s="304">
        <f t="shared" si="218"/>
        <v>0</v>
      </c>
      <c r="AC93" s="304">
        <f t="shared" si="218"/>
        <v>0</v>
      </c>
      <c r="AD93" s="304">
        <f t="shared" si="186"/>
        <v>4197.123342465753</v>
      </c>
      <c r="AE93" s="283"/>
      <c r="AF93" s="304">
        <f>SUM(AF87:AF92)</f>
        <v>4442.3999999999996</v>
      </c>
      <c r="AG93" s="304">
        <f t="shared" ref="AG93" si="219">SUM(AG87:AG92)</f>
        <v>4660.92</v>
      </c>
      <c r="AH93" s="304">
        <f t="shared" ref="AH93" si="220">SUM(AH87:AH92)</f>
        <v>4902.96</v>
      </c>
      <c r="AI93" s="304">
        <f t="shared" ref="AI93" si="221">SUM(AI87:AI92)</f>
        <v>5170.4400000000005</v>
      </c>
      <c r="AJ93" s="304">
        <f t="shared" ref="AJ93" si="222">SUM(AJ87:AJ92)</f>
        <v>5170.4400000000005</v>
      </c>
      <c r="AK93" s="304">
        <f t="shared" ref="AK93" si="223">SUM(AK87:AK92)</f>
        <v>5170.4400000000005</v>
      </c>
      <c r="AL93" s="304">
        <f t="shared" ref="AL93" si="224">SUM(AL87:AL92)</f>
        <v>0</v>
      </c>
      <c r="AM93" s="304">
        <f t="shared" ref="AM93" si="225">SUM(AM87:AM92)</f>
        <v>0</v>
      </c>
      <c r="AN93" s="304">
        <f t="shared" ref="AN93" si="226">SUM(AN87:AN92)</f>
        <v>0</v>
      </c>
      <c r="AO93" s="304">
        <f t="shared" ref="AO93" si="227">SUM(AO87:AO92)</f>
        <v>0</v>
      </c>
      <c r="AP93" s="304">
        <f t="shared" si="196"/>
        <v>25182.929753424662</v>
      </c>
      <c r="AQ93" s="283"/>
      <c r="AR93" s="304">
        <f t="shared" ref="AR93:BA93" si="228">SUM(AR87:AR92)</f>
        <v>8884.7999999999993</v>
      </c>
      <c r="AS93" s="304">
        <f t="shared" si="228"/>
        <v>9321.84</v>
      </c>
      <c r="AT93" s="304">
        <f t="shared" si="228"/>
        <v>9805.7999999999993</v>
      </c>
      <c r="AU93" s="304">
        <f t="shared" si="228"/>
        <v>10340.76</v>
      </c>
      <c r="AV93" s="304">
        <f t="shared" si="228"/>
        <v>10340.76</v>
      </c>
      <c r="AW93" s="304">
        <f t="shared" si="228"/>
        <v>10340.76</v>
      </c>
      <c r="AX93" s="304">
        <f t="shared" si="228"/>
        <v>0</v>
      </c>
      <c r="AY93" s="304">
        <f t="shared" si="228"/>
        <v>0</v>
      </c>
      <c r="AZ93" s="304">
        <f t="shared" si="228"/>
        <v>0</v>
      </c>
      <c r="BA93" s="304">
        <f t="shared" si="228"/>
        <v>0</v>
      </c>
      <c r="BB93" s="304">
        <f t="shared" si="198"/>
        <v>50365.480109589043</v>
      </c>
      <c r="BC93" s="11"/>
      <c r="BF93" s="32"/>
      <c r="BG93" s="32"/>
      <c r="BH93" s="32"/>
    </row>
    <row r="94" spans="2:82" s="16" customFormat="1" ht="12.95" customHeight="1" thickTop="1" thickBot="1" x14ac:dyDescent="0.25">
      <c r="B94" s="11"/>
      <c r="C94" s="28" t="s">
        <v>118</v>
      </c>
      <c r="D94" s="28"/>
      <c r="E94" s="79"/>
      <c r="F94" s="586"/>
      <c r="G94" s="593"/>
      <c r="H94" s="429">
        <f t="shared" ref="H94" si="229">H86+H93</f>
        <v>2637.2</v>
      </c>
      <c r="I94" s="304">
        <f t="shared" ref="I94:Q94" si="230">I86+I93</f>
        <v>2766.91</v>
      </c>
      <c r="J94" s="304">
        <f t="shared" si="230"/>
        <v>2910.58</v>
      </c>
      <c r="K94" s="304">
        <f t="shared" si="230"/>
        <v>3069.37</v>
      </c>
      <c r="L94" s="304">
        <f t="shared" si="230"/>
        <v>3069.37</v>
      </c>
      <c r="M94" s="304">
        <f t="shared" si="230"/>
        <v>3069.37</v>
      </c>
      <c r="N94" s="304">
        <f t="shared" si="230"/>
        <v>0</v>
      </c>
      <c r="O94" s="304">
        <f t="shared" si="230"/>
        <v>0</v>
      </c>
      <c r="P94" s="304">
        <f t="shared" si="230"/>
        <v>0</v>
      </c>
      <c r="Q94" s="304">
        <f t="shared" si="230"/>
        <v>0</v>
      </c>
      <c r="R94" s="304">
        <f t="shared" si="199"/>
        <v>14949.574739726024</v>
      </c>
      <c r="S94" s="283"/>
      <c r="T94" s="304">
        <f t="shared" ref="T94:U94" si="231">T86+T93</f>
        <v>5274.4</v>
      </c>
      <c r="U94" s="304">
        <f t="shared" si="231"/>
        <v>5533.82</v>
      </c>
      <c r="V94" s="304">
        <f t="shared" ref="V94:AC94" si="232">V86+V93</f>
        <v>5821.15</v>
      </c>
      <c r="W94" s="304">
        <f t="shared" si="232"/>
        <v>6138.73</v>
      </c>
      <c r="X94" s="304">
        <f t="shared" si="232"/>
        <v>6138.73</v>
      </c>
      <c r="Y94" s="304">
        <f t="shared" si="232"/>
        <v>6138.73</v>
      </c>
      <c r="Z94" s="304">
        <f t="shared" si="232"/>
        <v>0</v>
      </c>
      <c r="AA94" s="304">
        <f t="shared" si="232"/>
        <v>0</v>
      </c>
      <c r="AB94" s="304">
        <f t="shared" si="232"/>
        <v>0</v>
      </c>
      <c r="AC94" s="304">
        <f t="shared" si="232"/>
        <v>0</v>
      </c>
      <c r="AD94" s="304">
        <f t="shared" si="186"/>
        <v>29899.117863013696</v>
      </c>
      <c r="AE94" s="283"/>
      <c r="AF94" s="304">
        <f t="shared" ref="AF94" si="233">AF86+AF93</f>
        <v>31646.400000000001</v>
      </c>
      <c r="AG94" s="304">
        <f t="shared" ref="AG94" si="234">AG86+AG93</f>
        <v>33202.92</v>
      </c>
      <c r="AH94" s="304">
        <f t="shared" ref="AH94" si="235">AH86+AH93</f>
        <v>34926.959999999999</v>
      </c>
      <c r="AI94" s="304">
        <f t="shared" ref="AI94" si="236">AI86+AI93</f>
        <v>36832.44</v>
      </c>
      <c r="AJ94" s="304">
        <f t="shared" ref="AJ94" si="237">AJ86+AJ93</f>
        <v>36832.44</v>
      </c>
      <c r="AK94" s="304">
        <f t="shared" ref="AK94" si="238">AK86+AK93</f>
        <v>36832.44</v>
      </c>
      <c r="AL94" s="304">
        <f t="shared" ref="AL94" si="239">AL86+AL93</f>
        <v>0</v>
      </c>
      <c r="AM94" s="304">
        <f t="shared" ref="AM94" si="240">AM86+AM93</f>
        <v>0</v>
      </c>
      <c r="AN94" s="304">
        <f t="shared" ref="AN94" si="241">AN86+AN93</f>
        <v>0</v>
      </c>
      <c r="AO94" s="304">
        <f t="shared" ref="AO94" si="242">AO86+AO93</f>
        <v>0</v>
      </c>
      <c r="AP94" s="304">
        <f t="shared" si="196"/>
        <v>179394.89687671233</v>
      </c>
      <c r="AQ94" s="283"/>
      <c r="AR94" s="304">
        <f t="shared" ref="AR94:BA94" si="243">AR86+AR93</f>
        <v>63292.800000000003</v>
      </c>
      <c r="AS94" s="304">
        <f t="shared" si="243"/>
        <v>66405.84</v>
      </c>
      <c r="AT94" s="304">
        <f t="shared" si="243"/>
        <v>69853.8</v>
      </c>
      <c r="AU94" s="304">
        <f t="shared" si="243"/>
        <v>73664.759999999995</v>
      </c>
      <c r="AV94" s="304">
        <f t="shared" si="243"/>
        <v>73664.759999999995</v>
      </c>
      <c r="AW94" s="304">
        <f t="shared" si="243"/>
        <v>73664.759999999995</v>
      </c>
      <c r="AX94" s="304">
        <f t="shared" si="243"/>
        <v>0</v>
      </c>
      <c r="AY94" s="304">
        <f t="shared" si="243"/>
        <v>0</v>
      </c>
      <c r="AZ94" s="304">
        <f t="shared" si="243"/>
        <v>0</v>
      </c>
      <c r="BA94" s="304">
        <f t="shared" si="243"/>
        <v>0</v>
      </c>
      <c r="BB94" s="304">
        <f t="shared" si="198"/>
        <v>358789.4143561644</v>
      </c>
      <c r="BC94" s="11"/>
      <c r="BF94" s="32"/>
      <c r="BG94" s="32"/>
      <c r="BH94" s="32"/>
    </row>
    <row r="95" spans="2:82" s="16" customFormat="1" ht="12.95" customHeight="1" thickTop="1" thickBot="1" x14ac:dyDescent="0.25">
      <c r="B95" s="11"/>
      <c r="C95" s="42" t="s">
        <v>15</v>
      </c>
      <c r="D95" s="42"/>
      <c r="E95" s="82"/>
      <c r="F95" s="594"/>
      <c r="G95" s="595"/>
      <c r="H95" s="430">
        <f>AF95/12</f>
        <v>2637.2000000000003</v>
      </c>
      <c r="I95" s="299">
        <f>IF(I$21&lt;&gt;"[leeg]",AG95/12,0)</f>
        <v>2766.91</v>
      </c>
      <c r="J95" s="299">
        <f t="shared" ref="J95:Q95" si="244">IF(J$21&lt;&gt;"[leeg]",AH95/12,0)</f>
        <v>2910.58</v>
      </c>
      <c r="K95" s="299">
        <f t="shared" si="244"/>
        <v>3069.3700000000003</v>
      </c>
      <c r="L95" s="299">
        <f t="shared" si="244"/>
        <v>3069.3700000000003</v>
      </c>
      <c r="M95" s="299">
        <f t="shared" si="244"/>
        <v>3069.3700000000003</v>
      </c>
      <c r="N95" s="299">
        <f t="shared" si="244"/>
        <v>0</v>
      </c>
      <c r="O95" s="299">
        <f t="shared" si="244"/>
        <v>0</v>
      </c>
      <c r="P95" s="299">
        <f t="shared" si="244"/>
        <v>0</v>
      </c>
      <c r="Q95" s="299">
        <f t="shared" si="244"/>
        <v>0</v>
      </c>
      <c r="R95" s="299">
        <f t="shared" si="199"/>
        <v>14949.574739726029</v>
      </c>
      <c r="S95" s="283"/>
      <c r="T95" s="299">
        <f>AR95/12</f>
        <v>5274.4000000000005</v>
      </c>
      <c r="U95" s="299">
        <f>IF(U$21&lt;&gt;"[leeg]",AS95/12,0)</f>
        <v>5533.82</v>
      </c>
      <c r="V95" s="299">
        <f t="shared" ref="V95:AC95" si="245">IF(V$21&lt;&gt;"[leeg]",AT95/12,0)</f>
        <v>5821.1500000000005</v>
      </c>
      <c r="W95" s="299">
        <f t="shared" si="245"/>
        <v>6138.73</v>
      </c>
      <c r="X95" s="299">
        <f t="shared" si="245"/>
        <v>6138.73</v>
      </c>
      <c r="Y95" s="299">
        <f t="shared" si="245"/>
        <v>6138.73</v>
      </c>
      <c r="Z95" s="299">
        <f t="shared" si="245"/>
        <v>0</v>
      </c>
      <c r="AA95" s="299">
        <f t="shared" si="245"/>
        <v>0</v>
      </c>
      <c r="AB95" s="299">
        <f t="shared" si="245"/>
        <v>0</v>
      </c>
      <c r="AC95" s="299">
        <f t="shared" si="245"/>
        <v>0</v>
      </c>
      <c r="AD95" s="299">
        <f t="shared" si="186"/>
        <v>29899.1178630137</v>
      </c>
      <c r="AE95" s="283"/>
      <c r="AF95" s="299">
        <f>AF94</f>
        <v>31646.400000000001</v>
      </c>
      <c r="AG95" s="299">
        <f t="shared" ref="AG95" si="246">AG94</f>
        <v>33202.92</v>
      </c>
      <c r="AH95" s="299">
        <f t="shared" ref="AH95" si="247">AH94</f>
        <v>34926.959999999999</v>
      </c>
      <c r="AI95" s="299">
        <f t="shared" ref="AI95" si="248">AI94</f>
        <v>36832.44</v>
      </c>
      <c r="AJ95" s="299">
        <f t="shared" ref="AJ95" si="249">AJ94</f>
        <v>36832.44</v>
      </c>
      <c r="AK95" s="299">
        <f t="shared" ref="AK95" si="250">AK94</f>
        <v>36832.44</v>
      </c>
      <c r="AL95" s="299">
        <f t="shared" ref="AL95" si="251">AL94</f>
        <v>0</v>
      </c>
      <c r="AM95" s="299">
        <f t="shared" ref="AM95" si="252">AM94</f>
        <v>0</v>
      </c>
      <c r="AN95" s="299">
        <f t="shared" ref="AN95" si="253">AN94</f>
        <v>0</v>
      </c>
      <c r="AO95" s="299">
        <f t="shared" ref="AO95" si="254">AO94</f>
        <v>0</v>
      </c>
      <c r="AP95" s="299">
        <f t="shared" si="196"/>
        <v>179394.89687671233</v>
      </c>
      <c r="AQ95" s="283"/>
      <c r="AR95" s="299">
        <f>AR94</f>
        <v>63292.800000000003</v>
      </c>
      <c r="AS95" s="299">
        <f t="shared" ref="AS95:BA95" si="255">AS94</f>
        <v>66405.84</v>
      </c>
      <c r="AT95" s="299">
        <f t="shared" si="255"/>
        <v>69853.8</v>
      </c>
      <c r="AU95" s="299">
        <f t="shared" si="255"/>
        <v>73664.759999999995</v>
      </c>
      <c r="AV95" s="299">
        <f t="shared" si="255"/>
        <v>73664.759999999995</v>
      </c>
      <c r="AW95" s="299">
        <f t="shared" si="255"/>
        <v>73664.759999999995</v>
      </c>
      <c r="AX95" s="299">
        <f t="shared" si="255"/>
        <v>0</v>
      </c>
      <c r="AY95" s="299">
        <f t="shared" si="255"/>
        <v>0</v>
      </c>
      <c r="AZ95" s="299">
        <f t="shared" si="255"/>
        <v>0</v>
      </c>
      <c r="BA95" s="299">
        <f t="shared" si="255"/>
        <v>0</v>
      </c>
      <c r="BB95" s="299">
        <f t="shared" si="198"/>
        <v>358789.4143561644</v>
      </c>
      <c r="BC95" s="11"/>
      <c r="BF95" s="32"/>
      <c r="BG95" s="32"/>
      <c r="BH95" s="32"/>
    </row>
    <row r="96" spans="2:82" s="16" customFormat="1" ht="12.95" customHeight="1" collapsed="1" thickTop="1" x14ac:dyDescent="0.2">
      <c r="B96" s="11"/>
      <c r="C96" s="28"/>
      <c r="D96" s="28"/>
      <c r="E96" s="79"/>
      <c r="F96" s="586"/>
      <c r="G96" s="593"/>
      <c r="H96" s="431"/>
      <c r="I96" s="287"/>
      <c r="J96" s="287"/>
      <c r="K96" s="287"/>
      <c r="L96" s="287"/>
      <c r="M96" s="287"/>
      <c r="N96" s="287"/>
      <c r="O96" s="287"/>
      <c r="P96" s="287"/>
      <c r="Q96" s="287"/>
      <c r="R96" s="287"/>
      <c r="S96" s="283"/>
      <c r="T96" s="287"/>
      <c r="U96" s="287"/>
      <c r="V96" s="287"/>
      <c r="W96" s="287"/>
      <c r="X96" s="287"/>
      <c r="Y96" s="287"/>
      <c r="Z96" s="287"/>
      <c r="AA96" s="287"/>
      <c r="AB96" s="287"/>
      <c r="AC96" s="287"/>
      <c r="AD96" s="287"/>
      <c r="AE96" s="283"/>
      <c r="AF96" s="306"/>
      <c r="AG96" s="306"/>
      <c r="AH96" s="306"/>
      <c r="AI96" s="306"/>
      <c r="AJ96" s="306"/>
      <c r="AK96" s="306"/>
      <c r="AL96" s="306"/>
      <c r="AM96" s="306"/>
      <c r="AN96" s="306"/>
      <c r="AO96" s="306"/>
      <c r="AP96" s="306"/>
      <c r="AQ96" s="283"/>
      <c r="AR96" s="306"/>
      <c r="AS96" s="306"/>
      <c r="AT96" s="306"/>
      <c r="AU96" s="306"/>
      <c r="AV96" s="306"/>
      <c r="AW96" s="306"/>
      <c r="AX96" s="306"/>
      <c r="AY96" s="306"/>
      <c r="AZ96" s="306"/>
      <c r="BA96" s="306"/>
      <c r="BB96" s="306"/>
      <c r="BC96" s="11"/>
      <c r="BF96" s="32"/>
      <c r="BG96" s="32"/>
      <c r="BH96" s="32"/>
    </row>
    <row r="97" spans="1:60" s="16" customFormat="1" ht="12.95" customHeight="1" x14ac:dyDescent="0.2">
      <c r="B97" s="26"/>
      <c r="C97" s="42" t="s">
        <v>332</v>
      </c>
      <c r="D97" s="42"/>
      <c r="E97" s="79"/>
      <c r="F97" s="586"/>
      <c r="G97" s="587"/>
      <c r="H97" s="432"/>
      <c r="I97" s="282"/>
      <c r="J97" s="282"/>
      <c r="K97" s="282"/>
      <c r="L97" s="282"/>
      <c r="M97" s="282"/>
      <c r="N97" s="282"/>
      <c r="O97" s="282"/>
      <c r="P97" s="282"/>
      <c r="Q97" s="282"/>
      <c r="R97" s="282"/>
      <c r="S97" s="283"/>
      <c r="T97" s="282"/>
      <c r="U97" s="282"/>
      <c r="V97" s="282"/>
      <c r="W97" s="282"/>
      <c r="X97" s="282"/>
      <c r="Y97" s="282"/>
      <c r="Z97" s="282"/>
      <c r="AA97" s="282"/>
      <c r="AB97" s="282"/>
      <c r="AC97" s="282"/>
      <c r="AD97" s="282"/>
      <c r="AE97" s="283"/>
      <c r="AF97" s="282"/>
      <c r="AG97" s="282"/>
      <c r="AH97" s="282"/>
      <c r="AI97" s="282"/>
      <c r="AJ97" s="282"/>
      <c r="AK97" s="282"/>
      <c r="AL97" s="282"/>
      <c r="AM97" s="282"/>
      <c r="AN97" s="282"/>
      <c r="AO97" s="282"/>
      <c r="AP97" s="282"/>
      <c r="AQ97" s="283"/>
      <c r="AR97" s="282"/>
      <c r="AS97" s="282"/>
      <c r="AT97" s="282"/>
      <c r="AU97" s="282"/>
      <c r="AV97" s="282"/>
      <c r="AW97" s="282"/>
      <c r="AX97" s="282"/>
      <c r="AY97" s="282"/>
      <c r="AZ97" s="282"/>
      <c r="BA97" s="282"/>
      <c r="BB97" s="282"/>
      <c r="BC97" s="11"/>
      <c r="BF97" s="32"/>
      <c r="BG97" s="32"/>
      <c r="BH97" s="32"/>
    </row>
    <row r="98" spans="1:60" s="33" customFormat="1" ht="12.95" customHeight="1" thickBot="1" x14ac:dyDescent="0.25">
      <c r="A98" s="16"/>
      <c r="B98" s="26"/>
      <c r="C98" s="42" t="s">
        <v>51</v>
      </c>
      <c r="D98" s="42"/>
      <c r="E98" s="82"/>
      <c r="F98" s="586"/>
      <c r="G98" s="587"/>
      <c r="H98" s="431"/>
      <c r="I98" s="287"/>
      <c r="J98" s="287"/>
      <c r="K98" s="287"/>
      <c r="L98" s="287"/>
      <c r="M98" s="287"/>
      <c r="N98" s="287"/>
      <c r="O98" s="287"/>
      <c r="P98" s="287"/>
      <c r="Q98" s="287"/>
      <c r="R98" s="287"/>
      <c r="S98" s="283"/>
      <c r="T98" s="287"/>
      <c r="U98" s="287"/>
      <c r="V98" s="287"/>
      <c r="W98" s="287"/>
      <c r="X98" s="287"/>
      <c r="Y98" s="287"/>
      <c r="Z98" s="287"/>
      <c r="AA98" s="287"/>
      <c r="AB98" s="287"/>
      <c r="AC98" s="287"/>
      <c r="AD98" s="287"/>
      <c r="AE98" s="283"/>
      <c r="AF98" s="287"/>
      <c r="AG98" s="287"/>
      <c r="AH98" s="287"/>
      <c r="AI98" s="287"/>
      <c r="AJ98" s="287"/>
      <c r="AK98" s="287"/>
      <c r="AL98" s="287"/>
      <c r="AM98" s="287"/>
      <c r="AN98" s="287"/>
      <c r="AO98" s="287"/>
      <c r="AP98" s="287"/>
      <c r="AQ98" s="283"/>
      <c r="AR98" s="287"/>
      <c r="AS98" s="287"/>
      <c r="AT98" s="287"/>
      <c r="AU98" s="287"/>
      <c r="AV98" s="287"/>
      <c r="AW98" s="287"/>
      <c r="AX98" s="287"/>
      <c r="AY98" s="287"/>
      <c r="AZ98" s="287"/>
      <c r="BA98" s="287"/>
      <c r="BB98" s="287"/>
      <c r="BC98" s="126"/>
      <c r="BF98" s="76"/>
      <c r="BG98" s="76"/>
      <c r="BH98" s="76"/>
    </row>
    <row r="99" spans="1:60" s="33" customFormat="1" ht="12.95" customHeight="1" thickTop="1" thickBot="1" x14ac:dyDescent="0.25">
      <c r="A99" s="16"/>
      <c r="B99" s="26"/>
      <c r="C99" s="26" t="s">
        <v>9</v>
      </c>
      <c r="D99" s="26"/>
      <c r="E99" s="17"/>
      <c r="F99" s="586"/>
      <c r="G99" s="587"/>
      <c r="H99" s="433">
        <f>IF(AF$95/H$84&lt;'Tabellen PO-Raad'!$C$8,0,(AF$95-'Tabellen PO-Raad'!$E$8*H$84)/12)*'Tabellen PO-Raad'!$C$8</f>
        <v>352.74330000000003</v>
      </c>
      <c r="I99" s="307">
        <f>IF(I$79&lt;&gt;"[leeg]",IF(AF$95/H$84&lt;'Tabellen PO-Raad'!$C$8,0,(AF$95-'Tabellen PO-Raad'!$E$8*H$84)/12)*'Tabellen PO-Raad'!$C$8,0)</f>
        <v>352.74330000000003</v>
      </c>
      <c r="J99" s="307">
        <f>IF(J$21&lt;&gt;"[leeg]",IF(AG$95/I$84&lt;'Tabellen PO-Raad'!$C$8,0,(AG$95-'Tabellen PO-Raad'!$E$8*I$84)/12)*'Tabellen PO-Raad'!$C$8,0)</f>
        <v>377.25848999999999</v>
      </c>
      <c r="K99" s="307">
        <f>IF(K$21&lt;&gt;"[leeg]",IF(AH$95/J$84&lt;'Tabellen PO-Raad'!$C$8,0,(AH$95-'Tabellen PO-Raad'!$E$8*J$84)/12)*'Tabellen PO-Raad'!$C$8,0)</f>
        <v>404.41211999999996</v>
      </c>
      <c r="L99" s="307">
        <f>IF(L$21&lt;&gt;"[leeg]",IF(AI$95/K$84&lt;'Tabellen PO-Raad'!$C$8,0,(AI$95-'Tabellen PO-Raad'!$E$8*K$84)/12)*'Tabellen PO-Raad'!$C$8,0)</f>
        <v>434.42343000000005</v>
      </c>
      <c r="M99" s="307">
        <f>IF(M$21&lt;&gt;"[leeg]",IF(AJ$95/L$84&lt;'Tabellen PO-Raad'!$C$8,0,(AJ$95-'Tabellen PO-Raad'!$E$8*L$84)/12)*'Tabellen PO-Raad'!$C$8,0)</f>
        <v>434.42343000000005</v>
      </c>
      <c r="N99" s="307">
        <f>IF(N$21&lt;&gt;"[leeg]",IF(AK$95/M$84&lt;'Tabellen PO-Raad'!$C$8,0,(AK$95-'Tabellen PO-Raad'!$E$8*M$84)/12)*'Tabellen PO-Raad'!$C$8,0)</f>
        <v>0</v>
      </c>
      <c r="O99" s="307">
        <f>IF(O$21&lt;&gt;"[leeg]",IF(AL$95/N$84&lt;'Tabellen PO-Raad'!$C$8,0,(AL$95-'Tabellen PO-Raad'!$E$8*N$84)/12)*'Tabellen PO-Raad'!$C$8,0)</f>
        <v>0</v>
      </c>
      <c r="P99" s="307">
        <f>IF(P$21&lt;&gt;"[leeg]",IF(AM$95/O$84&lt;'Tabellen PO-Raad'!$C$8,0,(AM$95-'Tabellen PO-Raad'!$E$8*O$84)/12)*'Tabellen PO-Raad'!$C$8,0)</f>
        <v>0</v>
      </c>
      <c r="Q99" s="307">
        <f>IF(Q$21&lt;&gt;"[leeg]",IF(AN$95/P$84&lt;'Tabellen PO-Raad'!$C$8,0,(AN$95-'Tabellen PO-Raad'!$E$8*P$84)/12)*'Tabellen PO-Raad'!$C$8,0)</f>
        <v>0</v>
      </c>
      <c r="R99" s="307">
        <f t="shared" ref="R99:R109" si="256">H99*H$27+I99*I$27+J99*J$27+K99*K$27+L99*L$27+M99*M$27+N99*N$27+O99*O$27+P99*P$27+Q99*Q$27</f>
        <v>1991.8025095068494</v>
      </c>
      <c r="S99" s="283"/>
      <c r="T99" s="307">
        <f>IF(AR$95/T$84&lt;'Tabellen PO-Raad'!$C$8,0,(AR$95-'Tabellen PO-Raad'!$E$8*T$84)/12)*'Tabellen PO-Raad'!$C$8</f>
        <v>705.48660000000007</v>
      </c>
      <c r="U99" s="307">
        <f>IF(AS$95/U$84&lt;'Tabellen PO-Raad'!$C$8,0,(AS$95-'Tabellen PO-Raad'!$E$8*U$84)/12)*'Tabellen PO-Raad'!$C$8</f>
        <v>754.51697999999999</v>
      </c>
      <c r="V99" s="307">
        <f>IF(V$21&lt;&gt;"[leeg]",IF(AS$95/U$84&lt;'Tabellen PO-Raad'!$C$8,0,(AS$95-'Tabellen PO-Raad'!$E$8*U$84)/12)*'Tabellen PO-Raad'!$C$8,0)</f>
        <v>754.51697999999999</v>
      </c>
      <c r="W99" s="307">
        <f>IF(W$21&lt;&gt;"[leeg]",IF(AT$95/V$84&lt;'Tabellen PO-Raad'!$C$8,0,(AT$95-'Tabellen PO-Raad'!$E$8*V$84)/12)*'Tabellen PO-Raad'!$C$8,0)</f>
        <v>808.82235000000003</v>
      </c>
      <c r="X99" s="307">
        <f>IF(X$21&lt;&gt;"[leeg]",IF(AU$95/W$84&lt;'Tabellen PO-Raad'!$C$8,0,(AU$95-'Tabellen PO-Raad'!$E$8*W$84)/12)*'Tabellen PO-Raad'!$C$8,0)</f>
        <v>868.84496999999988</v>
      </c>
      <c r="Y99" s="307">
        <f>IF(Y$21&lt;&gt;"[leeg]",IF(AV$95/X$84&lt;'Tabellen PO-Raad'!$C$8,0,(AV$95-'Tabellen PO-Raad'!$E$8*X$84)/12)*'Tabellen PO-Raad'!$C$8,0)</f>
        <v>868.84496999999988</v>
      </c>
      <c r="Z99" s="307">
        <f>IF(Z$21&lt;&gt;"[leeg]",IF(AW$95/Y$84&lt;'Tabellen PO-Raad'!$C$8,0,(AW$95-'Tabellen PO-Raad'!$E$8*Y$84)/12)*'Tabellen PO-Raad'!$C$8,0)</f>
        <v>0</v>
      </c>
      <c r="AA99" s="307">
        <f>IF(AA$21&lt;&gt;"[leeg]",IF(AX$95/Z$84&lt;'Tabellen PO-Raad'!$C$8,0,(AX$95-'Tabellen PO-Raad'!$E$8*Z$84)/12)*'Tabellen PO-Raad'!$C$8,0)</f>
        <v>0</v>
      </c>
      <c r="AB99" s="307">
        <f>IF(AB$21&lt;&gt;"[leeg]",IF(AY$95/AA$84&lt;'Tabellen PO-Raad'!$C$8,0,(AY$95-'Tabellen PO-Raad'!$E$8*AA$84)/12)*'Tabellen PO-Raad'!$C$8,0)</f>
        <v>0</v>
      </c>
      <c r="AC99" s="307">
        <f>IF(AC$21&lt;&gt;"[leeg]",IF(AZ$95/AB$84&lt;'Tabellen PO-Raad'!$C$8,0,(AZ$95-'Tabellen PO-Raad'!$E$8*AB$84)/12)*'Tabellen PO-Raad'!$C$8,0)</f>
        <v>0</v>
      </c>
      <c r="AD99" s="307">
        <f t="shared" ref="AD99:AD109" si="257">T99*T$27+U99*U$27+V99*V$27+W99*W$27+X99*X$27+Y99*Y$27+Z99*Z$27+AA99*AA$27+AB99*AB$27+AC99*AC$27</f>
        <v>4032.631313506849</v>
      </c>
      <c r="AE99" s="283"/>
      <c r="AF99" s="308">
        <f t="shared" ref="AF99:AF104" si="258">H99*12</f>
        <v>4232.9196000000002</v>
      </c>
      <c r="AG99" s="308">
        <f t="shared" ref="AG99:AG104" si="259">I99*12</f>
        <v>4232.9196000000002</v>
      </c>
      <c r="AH99" s="308">
        <f t="shared" ref="AH99:AH104" si="260">J99*12</f>
        <v>4527.1018800000002</v>
      </c>
      <c r="AI99" s="308">
        <f t="shared" ref="AI99:AI104" si="261">K99*12</f>
        <v>4852.9454399999995</v>
      </c>
      <c r="AJ99" s="308">
        <f t="shared" ref="AJ99:AJ104" si="262">L99*12</f>
        <v>5213.0811600000006</v>
      </c>
      <c r="AK99" s="308">
        <f t="shared" ref="AK99:AK104" si="263">M99*12</f>
        <v>5213.0811600000006</v>
      </c>
      <c r="AL99" s="308">
        <f t="shared" ref="AL99:AL104" si="264">N99*12</f>
        <v>0</v>
      </c>
      <c r="AM99" s="308">
        <f t="shared" ref="AM99:AM104" si="265">O99*12</f>
        <v>0</v>
      </c>
      <c r="AN99" s="308">
        <f t="shared" ref="AN99:AN104" si="266">P99*12</f>
        <v>0</v>
      </c>
      <c r="AO99" s="308">
        <f t="shared" ref="AO99:AO104" si="267">Q99*12</f>
        <v>0</v>
      </c>
      <c r="AP99" s="308">
        <f t="shared" ref="AP99:AP109" si="268">AF99*AF$27+AG99*AG$27+AH99*AH$27+AI99*AI$27+AJ99*AJ$27+AK99*AK$27+AL99*AL$27+AM99*AM$27+AN99*AN$27+AO99*AO$27</f>
        <v>23901.630114082192</v>
      </c>
      <c r="AQ99" s="283"/>
      <c r="AR99" s="308">
        <f t="shared" ref="AR99:AR101" si="269">T99*12</f>
        <v>8465.8392000000003</v>
      </c>
      <c r="AS99" s="308">
        <f t="shared" ref="AS99:AS104" si="270">U99*12</f>
        <v>9054.2037600000003</v>
      </c>
      <c r="AT99" s="308">
        <f t="shared" ref="AT99:AT104" si="271">V99*12</f>
        <v>9054.2037600000003</v>
      </c>
      <c r="AU99" s="308">
        <f t="shared" ref="AU99:AU104" si="272">W99*12</f>
        <v>9705.8682000000008</v>
      </c>
      <c r="AV99" s="308">
        <f t="shared" ref="AV99:AV104" si="273">X99*12</f>
        <v>10426.139639999998</v>
      </c>
      <c r="AW99" s="308">
        <f t="shared" ref="AW99:AW104" si="274">Y99*12</f>
        <v>10426.139639999998</v>
      </c>
      <c r="AX99" s="308">
        <f t="shared" ref="AX99:AX104" si="275">Z99*12</f>
        <v>0</v>
      </c>
      <c r="AY99" s="308">
        <f t="shared" ref="AY99:AY104" si="276">AA99*12</f>
        <v>0</v>
      </c>
      <c r="AZ99" s="308">
        <f t="shared" ref="AZ99:AZ104" si="277">AB99*12</f>
        <v>0</v>
      </c>
      <c r="BA99" s="308">
        <f t="shared" ref="BA99:BA104" si="278">AC99*12</f>
        <v>0</v>
      </c>
      <c r="BB99" s="308">
        <f t="shared" ref="BB99:BB109" si="279">AR99*AR$27+AS99*AS$27+AT99*AT$27+AU99*AU$27+AV99*AV$27+AW99*AW$27+AX99*AX$27+AY99*AY$27+AZ99*AZ$27+BA99*BA$27</f>
        <v>48391.57576208219</v>
      </c>
      <c r="BC99" s="126"/>
      <c r="BF99" s="76"/>
      <c r="BG99" s="76"/>
      <c r="BH99" s="76"/>
    </row>
    <row r="100" spans="1:60" s="16" customFormat="1" ht="12.95" customHeight="1" thickTop="1" thickBot="1" x14ac:dyDescent="0.25">
      <c r="A100" s="33"/>
      <c r="B100" s="26"/>
      <c r="C100" s="26" t="s">
        <v>29</v>
      </c>
      <c r="D100" s="26"/>
      <c r="E100" s="17"/>
      <c r="F100" s="586"/>
      <c r="G100" s="587"/>
      <c r="H100" s="433">
        <f>IF(AF$95/H$84&lt;'Tabellen PO-Raad'!$E$9,0,(AF$95-'Tabellen PO-Raad'!$E$9*H$84)/12)*'Tabellen PO-Raad'!$C$9</f>
        <v>9.172485</v>
      </c>
      <c r="I100" s="307">
        <f>IF(I$79&lt;&gt;"[leeg]",IF(AF$95/H$84&lt;'Tabellen PO-Raad'!$E$9,0,(AF$95-'Tabellen PO-Raad'!$E$9*H$84)/12)*'Tabellen PO-Raad'!$C$9,0)</f>
        <v>9.172485</v>
      </c>
      <c r="J100" s="307">
        <f>IF(J$79&lt;&gt;"[leeg]",IF(AG$95/I$84&lt;'Tabellen PO-Raad'!$E$9,0,(AG$95-'Tabellen PO-Raad'!$E$9*I$84)/12)*'Tabellen PO-Raad'!$C$9,0)</f>
        <v>9.9896579999999986</v>
      </c>
      <c r="K100" s="307">
        <f>IF(K$79&lt;&gt;"[leeg]",IF(AH$95/J$84&lt;'Tabellen PO-Raad'!$E$9,0,(AH$95-'Tabellen PO-Raad'!$E$9*J$84)/12)*'Tabellen PO-Raad'!$C$9,0)</f>
        <v>10.894779</v>
      </c>
      <c r="L100" s="307">
        <f>IF(L$79&lt;&gt;"[leeg]",IF(AI$95/K$84&lt;'Tabellen PO-Raad'!$E$9,0,(AI$95-'Tabellen PO-Raad'!$E$9*K$84)/12)*'Tabellen PO-Raad'!$C$9,0)</f>
        <v>11.895156</v>
      </c>
      <c r="M100" s="307">
        <f>IF(M$79&lt;&gt;"[leeg]",IF(AJ$95/L$84&lt;'Tabellen PO-Raad'!$E$9,0,(AJ$95-'Tabellen PO-Raad'!$E$9*L$84)/12)*'Tabellen PO-Raad'!$C$9,0)</f>
        <v>11.895156</v>
      </c>
      <c r="N100" s="307">
        <f>IF(N$79&lt;&gt;"[leeg]",IF(AK$95/M$84&lt;'Tabellen PO-Raad'!$E$9,0,(AK$95-'Tabellen PO-Raad'!$E$9*M$84)/12)*'Tabellen PO-Raad'!$C$9,0)</f>
        <v>0</v>
      </c>
      <c r="O100" s="307">
        <f>IF(O$79&lt;&gt;"[leeg]",IF(AL$95/N$84&lt;'Tabellen PO-Raad'!$E$9,0,(AL$95-'Tabellen PO-Raad'!$E$9*N$84)/12)*'Tabellen PO-Raad'!$C$9,0)</f>
        <v>0</v>
      </c>
      <c r="P100" s="307">
        <f>IF(P$79&lt;&gt;"[leeg]",IF(AM$95/O$84&lt;'Tabellen PO-Raad'!$E$9,0,(AM$95-'Tabellen PO-Raad'!$E$9*O$84)/12)*'Tabellen PO-Raad'!$C$9,0)</f>
        <v>0</v>
      </c>
      <c r="Q100" s="307">
        <f>IF(Q$79&lt;&gt;"[leeg]",IF(AN$95/P$84&lt;'Tabellen PO-Raad'!$E$9,0,(AN$95-'Tabellen PO-Raad'!$E$9*P$84)/12)*'Tabellen PO-Raad'!$C$9,0)</f>
        <v>0</v>
      </c>
      <c r="R100" s="307">
        <f t="shared" si="256"/>
        <v>53.047341641095883</v>
      </c>
      <c r="S100" s="283"/>
      <c r="T100" s="307">
        <f>IF(AR$95/T$84&lt;'Tabellen PO-Raad'!$E$9,0,(AR$95-'Tabellen PO-Raad'!$E$9*T$84)/12)*'Tabellen PO-Raad'!$C$9</f>
        <v>18.34497</v>
      </c>
      <c r="U100" s="307">
        <f>IF(AS$95/U$84&lt;'Tabellen PO-Raad'!$E$9,0,(AS$95-'Tabellen PO-Raad'!$E$9*U$84)/12)*'Tabellen PO-Raad'!$C$9</f>
        <v>19.979315999999997</v>
      </c>
      <c r="V100" s="307">
        <f>IF(V$79&lt;&gt;"[leeg]",IF(AS$95/U$84&lt;'Tabellen PO-Raad'!$E$9,0,(AS$95-'Tabellen PO-Raad'!$E$9*U$84)/12)*'Tabellen PO-Raad'!$C$9,0)</f>
        <v>19.979315999999997</v>
      </c>
      <c r="W100" s="307">
        <f>IF(W$79&lt;&gt;"[leeg]",IF(AT$95/V$84&lt;'Tabellen PO-Raad'!$E$9,0,(AT$95-'Tabellen PO-Raad'!$E$9*V$84)/12)*'Tabellen PO-Raad'!$C$9,0)</f>
        <v>21.789495000000002</v>
      </c>
      <c r="X100" s="307">
        <f>IF(X$79&lt;&gt;"[leeg]",IF(AU$95/W$84&lt;'Tabellen PO-Raad'!$E$9,0,(AU$95-'Tabellen PO-Raad'!$E$9*W$84)/12)*'Tabellen PO-Raad'!$C$9,0)</f>
        <v>23.790248999999996</v>
      </c>
      <c r="Y100" s="307">
        <f>IF(Y$79&lt;&gt;"[leeg]",IF(AV$95/X$84&lt;'Tabellen PO-Raad'!$E$9,0,(AV$95-'Tabellen PO-Raad'!$E$9*X$84)/12)*'Tabellen PO-Raad'!$C$9,0)</f>
        <v>23.790248999999996</v>
      </c>
      <c r="Z100" s="307">
        <f>IF(Z$79&lt;&gt;"[leeg]",IF(AW$95/Y$84&lt;'Tabellen PO-Raad'!$E$9,0,(AW$95-'Tabellen PO-Raad'!$E$9*Y$84)/12)*'Tabellen PO-Raad'!$C$9,0)</f>
        <v>0</v>
      </c>
      <c r="AA100" s="307">
        <f>IF(AA$79&lt;&gt;"[leeg]",IF(AX$95/Z$84&lt;'Tabellen PO-Raad'!$E$9,0,(AX$95-'Tabellen PO-Raad'!$E$9*Z$84)/12)*'Tabellen PO-Raad'!$C$9,0)</f>
        <v>0</v>
      </c>
      <c r="AB100" s="307">
        <f>IF(AB$79&lt;&gt;"[leeg]",IF(AY$95/AA$84&lt;'Tabellen PO-Raad'!$E$9,0,(AY$95-'Tabellen PO-Raad'!$E$9*AA$84)/12)*'Tabellen PO-Raad'!$C$9,0)</f>
        <v>0</v>
      </c>
      <c r="AC100" s="307">
        <f>IF(AC$79&lt;&gt;"[leeg]",IF(AZ$95/AB$84&lt;'Tabellen PO-Raad'!$E$9,0,(AZ$95-'Tabellen PO-Raad'!$E$9*AB$84)/12)*'Tabellen PO-Raad'!$C$9,0)</f>
        <v>0</v>
      </c>
      <c r="AD100" s="307">
        <f t="shared" si="257"/>
        <v>107.72889309863012</v>
      </c>
      <c r="AE100" s="283"/>
      <c r="AF100" s="308">
        <f t="shared" si="258"/>
        <v>110.06981999999999</v>
      </c>
      <c r="AG100" s="308">
        <f t="shared" si="259"/>
        <v>110.06981999999999</v>
      </c>
      <c r="AH100" s="308">
        <f t="shared" si="260"/>
        <v>119.87589599999998</v>
      </c>
      <c r="AI100" s="308">
        <f t="shared" si="261"/>
        <v>130.737348</v>
      </c>
      <c r="AJ100" s="308">
        <f t="shared" si="262"/>
        <v>142.741872</v>
      </c>
      <c r="AK100" s="308">
        <f t="shared" si="263"/>
        <v>142.741872</v>
      </c>
      <c r="AL100" s="308">
        <f t="shared" si="264"/>
        <v>0</v>
      </c>
      <c r="AM100" s="308">
        <f t="shared" si="265"/>
        <v>0</v>
      </c>
      <c r="AN100" s="308">
        <f t="shared" si="266"/>
        <v>0</v>
      </c>
      <c r="AO100" s="308">
        <f t="shared" si="267"/>
        <v>0</v>
      </c>
      <c r="AP100" s="308">
        <f t="shared" si="268"/>
        <v>636.56809969315077</v>
      </c>
      <c r="AQ100" s="283"/>
      <c r="AR100" s="308">
        <f t="shared" si="269"/>
        <v>220.13963999999999</v>
      </c>
      <c r="AS100" s="308">
        <f t="shared" si="270"/>
        <v>239.75179199999997</v>
      </c>
      <c r="AT100" s="308">
        <f t="shared" si="271"/>
        <v>239.75179199999997</v>
      </c>
      <c r="AU100" s="308">
        <f t="shared" si="272"/>
        <v>261.47394000000003</v>
      </c>
      <c r="AV100" s="308">
        <f t="shared" si="273"/>
        <v>285.48298799999998</v>
      </c>
      <c r="AW100" s="308">
        <f t="shared" si="274"/>
        <v>285.48298799999998</v>
      </c>
      <c r="AX100" s="308">
        <f t="shared" si="275"/>
        <v>0</v>
      </c>
      <c r="AY100" s="308">
        <f t="shared" si="276"/>
        <v>0</v>
      </c>
      <c r="AZ100" s="308">
        <f t="shared" si="277"/>
        <v>0</v>
      </c>
      <c r="BA100" s="308">
        <f t="shared" si="278"/>
        <v>0</v>
      </c>
      <c r="BB100" s="308">
        <f t="shared" si="279"/>
        <v>1292.7467171835617</v>
      </c>
      <c r="BC100" s="11"/>
      <c r="BF100" s="32"/>
      <c r="BG100" s="32"/>
      <c r="BH100" s="32"/>
    </row>
    <row r="101" spans="1:60" s="16" customFormat="1" ht="12.95" customHeight="1" thickTop="1" thickBot="1" x14ac:dyDescent="0.25">
      <c r="A101" s="33"/>
      <c r="B101" s="42"/>
      <c r="C101" s="26" t="s">
        <v>37</v>
      </c>
      <c r="D101" s="26"/>
      <c r="E101" s="17"/>
      <c r="F101" s="594"/>
      <c r="G101" s="587"/>
      <c r="H101" s="433">
        <f>'Loonkosten uitgebreid'!AF$95/12*'Tabellen PO-Raad'!$C$10</f>
        <v>0</v>
      </c>
      <c r="I101" s="307">
        <f>IF(I$79&lt;&gt;"[leeg]",'Loonkosten uitgebreid'!AF$95/12*'Tabellen PO-Raad'!$C$10,0)</f>
        <v>0</v>
      </c>
      <c r="J101" s="307">
        <f>IF(J$79&lt;&gt;"[leeg]",'Loonkosten uitgebreid'!AG$95/12*'Tabellen PO-Raad'!$C$10,0)</f>
        <v>0</v>
      </c>
      <c r="K101" s="307">
        <f>IF(K$79&lt;&gt;"[leeg]",'Loonkosten uitgebreid'!AH$95/12*'Tabellen PO-Raad'!$C$10,0)</f>
        <v>0</v>
      </c>
      <c r="L101" s="307">
        <f>IF(L$79&lt;&gt;"[leeg]",'Loonkosten uitgebreid'!AI$95/12*'Tabellen PO-Raad'!$C$10,0)</f>
        <v>0</v>
      </c>
      <c r="M101" s="307">
        <f>IF(M$79&lt;&gt;"[leeg]",'Loonkosten uitgebreid'!AJ$95/12*'Tabellen PO-Raad'!$C$10,0)</f>
        <v>0</v>
      </c>
      <c r="N101" s="307">
        <f>IF(N$79&lt;&gt;"[leeg]",'Loonkosten uitgebreid'!AK$95/12*'Tabellen PO-Raad'!$C$10,0)</f>
        <v>0</v>
      </c>
      <c r="O101" s="307">
        <f>IF(O$79&lt;&gt;"[leeg]",'Loonkosten uitgebreid'!AL$95/12*'Tabellen PO-Raad'!$C$10,0)</f>
        <v>0</v>
      </c>
      <c r="P101" s="307">
        <f>IF(P$79&lt;&gt;"[leeg]",'Loonkosten uitgebreid'!AM$95/12*'Tabellen PO-Raad'!$C$10,0)</f>
        <v>0</v>
      </c>
      <c r="Q101" s="307">
        <f>IF(Q$79&lt;&gt;"[leeg]",'Loonkosten uitgebreid'!AN$95/12*'Tabellen PO-Raad'!$C$10,0)</f>
        <v>0</v>
      </c>
      <c r="R101" s="307">
        <f t="shared" si="256"/>
        <v>0</v>
      </c>
      <c r="S101" s="283"/>
      <c r="T101" s="307">
        <f>'Loonkosten uitgebreid'!AR$95/12*'Tabellen PO-Raad'!$C$10</f>
        <v>0</v>
      </c>
      <c r="U101" s="307">
        <f>'Loonkosten uitgebreid'!AS$95/12*'Tabellen PO-Raad'!$C$10</f>
        <v>0</v>
      </c>
      <c r="V101" s="307">
        <f>IF(V$79&lt;&gt;"[leeg]",'Loonkosten uitgebreid'!AS$95/12*'Tabellen PO-Raad'!$C$10,0)</f>
        <v>0</v>
      </c>
      <c r="W101" s="307">
        <f>IF(W$79&lt;&gt;"[leeg]",'Loonkosten uitgebreid'!AT$95/12*'Tabellen PO-Raad'!$C$10,0)</f>
        <v>0</v>
      </c>
      <c r="X101" s="307">
        <f>IF(X$79&lt;&gt;"[leeg]",'Loonkosten uitgebreid'!AU$95/12*'Tabellen PO-Raad'!$C$10,0)</f>
        <v>0</v>
      </c>
      <c r="Y101" s="307">
        <f>IF(Y$79&lt;&gt;"[leeg]",'Loonkosten uitgebreid'!AV$95/12*'Tabellen PO-Raad'!$C$10,0)</f>
        <v>0</v>
      </c>
      <c r="Z101" s="307">
        <f>IF(Z$79&lt;&gt;"[leeg]",'Loonkosten uitgebreid'!AW$95/12*'Tabellen PO-Raad'!$C$10,0)</f>
        <v>0</v>
      </c>
      <c r="AA101" s="307">
        <f>IF(AA$79&lt;&gt;"[leeg]",'Loonkosten uitgebreid'!AX$95/12*'Tabellen PO-Raad'!$C$10,0)</f>
        <v>0</v>
      </c>
      <c r="AB101" s="307">
        <f>IF(AB$79&lt;&gt;"[leeg]",'Loonkosten uitgebreid'!AY$95/12*'Tabellen PO-Raad'!$C$10,0)</f>
        <v>0</v>
      </c>
      <c r="AC101" s="307">
        <f>IF(AC$79&lt;&gt;"[leeg]",'Loonkosten uitgebreid'!AZ$95/12*'Tabellen PO-Raad'!$C$10,0)</f>
        <v>0</v>
      </c>
      <c r="AD101" s="307">
        <f t="shared" si="257"/>
        <v>0</v>
      </c>
      <c r="AE101" s="283"/>
      <c r="AF101" s="308">
        <f t="shared" si="258"/>
        <v>0</v>
      </c>
      <c r="AG101" s="308">
        <f t="shared" si="259"/>
        <v>0</v>
      </c>
      <c r="AH101" s="308">
        <f t="shared" si="260"/>
        <v>0</v>
      </c>
      <c r="AI101" s="308">
        <f t="shared" si="261"/>
        <v>0</v>
      </c>
      <c r="AJ101" s="308">
        <f t="shared" si="262"/>
        <v>0</v>
      </c>
      <c r="AK101" s="308">
        <f t="shared" si="263"/>
        <v>0</v>
      </c>
      <c r="AL101" s="308">
        <f t="shared" si="264"/>
        <v>0</v>
      </c>
      <c r="AM101" s="308">
        <f t="shared" si="265"/>
        <v>0</v>
      </c>
      <c r="AN101" s="308">
        <f t="shared" si="266"/>
        <v>0</v>
      </c>
      <c r="AO101" s="308">
        <f t="shared" si="267"/>
        <v>0</v>
      </c>
      <c r="AP101" s="308">
        <f t="shared" si="268"/>
        <v>0</v>
      </c>
      <c r="AQ101" s="283"/>
      <c r="AR101" s="308">
        <f t="shared" si="269"/>
        <v>0</v>
      </c>
      <c r="AS101" s="308">
        <f t="shared" si="270"/>
        <v>0</v>
      </c>
      <c r="AT101" s="308">
        <f t="shared" si="271"/>
        <v>0</v>
      </c>
      <c r="AU101" s="308">
        <f t="shared" si="272"/>
        <v>0</v>
      </c>
      <c r="AV101" s="308">
        <f t="shared" si="273"/>
        <v>0</v>
      </c>
      <c r="AW101" s="308">
        <f t="shared" si="274"/>
        <v>0</v>
      </c>
      <c r="AX101" s="308">
        <f t="shared" si="275"/>
        <v>0</v>
      </c>
      <c r="AY101" s="308">
        <f t="shared" si="276"/>
        <v>0</v>
      </c>
      <c r="AZ101" s="308">
        <f t="shared" si="277"/>
        <v>0</v>
      </c>
      <c r="BA101" s="308">
        <f t="shared" si="278"/>
        <v>0</v>
      </c>
      <c r="BB101" s="308">
        <f t="shared" si="279"/>
        <v>0</v>
      </c>
      <c r="BC101" s="11"/>
      <c r="BF101" s="32"/>
      <c r="BG101" s="32"/>
      <c r="BH101" s="32"/>
    </row>
    <row r="102" spans="1:60" s="16" customFormat="1" ht="12.95" customHeight="1" thickTop="1" thickBot="1" x14ac:dyDescent="0.25">
      <c r="B102" s="42"/>
      <c r="C102" s="26" t="s">
        <v>74</v>
      </c>
      <c r="D102" s="26"/>
      <c r="E102" s="17"/>
      <c r="F102" s="586"/>
      <c r="G102" s="587"/>
      <c r="H102" s="433">
        <f>IF('Inkomensgevolgen uitgebreid'!D58&gt;'Tabellen PO-Raad'!$G$11/12,'Tabellen PO-Raad'!$G$11/12,'Inkomensgevolgen uitgebreid'!D58)*('Tabellen PO-Raad'!$C$11+'Tabellen PO-Raad'!$C$12)</f>
        <v>228.84899626699999</v>
      </c>
      <c r="I102" s="307">
        <f>IF(I$79&lt;&gt;"[leeg]",IF('Inkomensgevolgen uitgebreid'!E58&gt;'Tabellen PO-Raad'!$G$11/12,'Tabellen PO-Raad'!$G$11/12,'Inkomensgevolgen uitgebreid'!E58)*('Tabellen PO-Raad'!$C$11+'Tabellen PO-Raad'!$C$12),0)</f>
        <v>240.80825826699999</v>
      </c>
      <c r="J102" s="307">
        <f>IF(J$79&lt;&gt;"[leeg]",IF('Inkomensgevolgen uitgebreid'!F58&gt;'Tabellen PO-Raad'!$G$11/12,'Tabellen PO-Raad'!$G$11/12,'Inkomensgevolgen uitgebreid'!F58)*('Tabellen PO-Raad'!$C$11+'Tabellen PO-Raad'!$C$12),0)</f>
        <v>253.05364203760001</v>
      </c>
      <c r="K102" s="307">
        <f>IF(K$79&lt;&gt;"[leeg]",IF('Inkomensgevolgen uitgebreid'!G58&gt;'Tabellen PO-Raad'!$G$11/12,'Tabellen PO-Raad'!$G$11/12,'Inkomensgevolgen uitgebreid'!G58)*('Tabellen PO-Raad'!$C$11+'Tabellen PO-Raad'!$C$12),0)</f>
        <v>266.58535853379999</v>
      </c>
      <c r="L102" s="307">
        <f>IF(L$79&lt;&gt;"[leeg]",IF('Inkomensgevolgen uitgebreid'!H58&gt;'Tabellen PO-Raad'!$G$11/12,'Tabellen PO-Raad'!$G$11/12,'Inkomensgevolgen uitgebreid'!H58)*('Tabellen PO-Raad'!$C$11+'Tabellen PO-Raad'!$C$12),0)</f>
        <v>265.35995387319997</v>
      </c>
      <c r="M102" s="307">
        <f>IF(M$79&lt;&gt;"[leeg]",IF('Inkomensgevolgen uitgebreid'!I58&gt;'Tabellen PO-Raad'!$G$11/12,'Tabellen PO-Raad'!$G$11/12,'Inkomensgevolgen uitgebreid'!I58)*('Tabellen PO-Raad'!$C$11+'Tabellen PO-Raad'!$C$12),0)</f>
        <v>265.35995387319997</v>
      </c>
      <c r="N102" s="307">
        <f>IF(N$79&lt;&gt;"[leeg]",IF('Inkomensgevolgen uitgebreid'!J58&gt;'Tabellen PO-Raad'!$G$11/12,'Tabellen PO-Raad'!$G$11/12,'Inkomensgevolgen uitgebreid'!J58)*('Tabellen PO-Raad'!$C$11+'Tabellen PO-Raad'!$C$12),0)</f>
        <v>0</v>
      </c>
      <c r="O102" s="307">
        <f>IF(O$79&lt;&gt;"[leeg]",IF('Inkomensgevolgen uitgebreid'!K58&gt;'Tabellen PO-Raad'!$G$11/12,'Tabellen PO-Raad'!$G$11/12,'Inkomensgevolgen uitgebreid'!K58)*('Tabellen PO-Raad'!$C$11+'Tabellen PO-Raad'!$C$12),0)</f>
        <v>0</v>
      </c>
      <c r="P102" s="307">
        <f>IF(P$79&lt;&gt;"[leeg]",IF('Inkomensgevolgen uitgebreid'!L58&gt;'Tabellen PO-Raad'!$G$11/12,'Tabellen PO-Raad'!$G$11/12,'Inkomensgevolgen uitgebreid'!L58)*('Tabellen PO-Raad'!$C$11+'Tabellen PO-Raad'!$C$12),0)</f>
        <v>0</v>
      </c>
      <c r="Q102" s="307">
        <f>IF(Q$79&lt;&gt;"[leeg]",IF('Inkomensgevolgen uitgebreid'!M58&gt;'Tabellen PO-Raad'!$G$11/12,'Tabellen PO-Raad'!$G$11/12,'Inkomensgevolgen uitgebreid'!M58)*('Tabellen PO-Raad'!$C$11+'Tabellen PO-Raad'!$C$12),0)</f>
        <v>0</v>
      </c>
      <c r="R102" s="307">
        <f t="shared" si="256"/>
        <v>1297.550009741665</v>
      </c>
      <c r="S102" s="283"/>
      <c r="T102" s="307">
        <f>IF('Inkomensgevolgen uitgebreid'!O58&gt;'Tabellen PO-Raad'!$G$11/12,'Tabellen PO-Raad'!$G$11/12,'Inkomensgevolgen uitgebreid'!O58)*('Tabellen PO-Raad'!$C$11+'Tabellen PO-Raad'!$C$12)</f>
        <v>457.69799253399998</v>
      </c>
      <c r="U102" s="307">
        <f>IF(U$79&lt;&gt;"[leeg]",IF('Inkomensgevolgen uitgebreid'!P58&gt;'Tabellen PO-Raad'!$G$11/12,'Tabellen PO-Raad'!$G$11/12,'Inkomensgevolgen uitgebreid'!P58)*('Tabellen PO-Raad'!$C$11+'Tabellen PO-Raad'!$C$12),0)</f>
        <v>455.69601207520003</v>
      </c>
      <c r="V102" s="307">
        <f>IF(V$79&lt;&gt;"[leeg]",IF('Inkomensgevolgen uitgebreid'!R58&gt;'Tabellen PO-Raad'!$G$11/12,'Tabellen PO-Raad'!$G$11/12,'Inkomensgevolgen uitgebreid'!R58)*('Tabellen PO-Raad'!$C$11+'Tabellen PO-Raad'!$C$12),0)</f>
        <v>506.10636207520002</v>
      </c>
      <c r="W102" s="307">
        <f>IF(W$79&lt;&gt;"[leeg]",IF('Inkomensgevolgen uitgebreid'!S58&gt;'Tabellen PO-Raad'!$G$11/12,'Tabellen PO-Raad'!$G$11/12,'Inkomensgevolgen uitgebreid'!S58)*('Tabellen PO-Raad'!$C$11+'Tabellen PO-Raad'!$C$12),0)</f>
        <v>533.16987223900003</v>
      </c>
      <c r="X102" s="307">
        <f>IF(X$79&lt;&gt;"[leeg]",IF('Inkomensgevolgen uitgebreid'!T58&gt;'Tabellen PO-Raad'!$G$11/12,'Tabellen PO-Raad'!$G$11/12,'Inkomensgevolgen uitgebreid'!T58)*('Tabellen PO-Raad'!$C$11+'Tabellen PO-Raad'!$C$12),0)</f>
        <v>530.71906291779999</v>
      </c>
      <c r="Y102" s="307">
        <f>IF(Y$79&lt;&gt;"[leeg]",IF('Inkomensgevolgen uitgebreid'!U58&gt;'Tabellen PO-Raad'!$G$11/12,'Tabellen PO-Raad'!$G$11/12,'Inkomensgevolgen uitgebreid'!U58)*('Tabellen PO-Raad'!$C$11+'Tabellen PO-Raad'!$C$12),0)</f>
        <v>0</v>
      </c>
      <c r="Z102" s="307">
        <f>IF(Z$79&lt;&gt;"[leeg]",IF('Inkomensgevolgen uitgebreid'!V58&gt;'Tabellen PO-Raad'!$G$11/12,'Tabellen PO-Raad'!$G$11/12,'Inkomensgevolgen uitgebreid'!V58)*('Tabellen PO-Raad'!$C$11+'Tabellen PO-Raad'!$C$12),0)</f>
        <v>0</v>
      </c>
      <c r="AA102" s="307">
        <f>IF(AA$79&lt;&gt;"[leeg]",IF('Inkomensgevolgen uitgebreid'!W58&gt;'Tabellen PO-Raad'!$G$11/12,'Tabellen PO-Raad'!$G$11/12,'Inkomensgevolgen uitgebreid'!W58)*('Tabellen PO-Raad'!$C$11+'Tabellen PO-Raad'!$C$12),0)</f>
        <v>0</v>
      </c>
      <c r="AB102" s="307">
        <f>IF(AB$79&lt;&gt;"[leeg]",IF('Inkomensgevolgen uitgebreid'!X58&gt;'Tabellen PO-Raad'!$G$11/12,'Tabellen PO-Raad'!$G$11/12,'Inkomensgevolgen uitgebreid'!X58)*('Tabellen PO-Raad'!$C$11+'Tabellen PO-Raad'!$C$12),0)</f>
        <v>0</v>
      </c>
      <c r="AC102" s="307">
        <f>IF(AC$79&lt;&gt;"[leeg]",IF('Inkomensgevolgen uitgebreid'!Y58&gt;'Tabellen PO-Raad'!$G$11/12,'Tabellen PO-Raad'!$G$11/12,'Inkomensgevolgen uitgebreid'!Y58)*('Tabellen PO-Raad'!$C$11+'Tabellen PO-Raad'!$C$12),0)</f>
        <v>0</v>
      </c>
      <c r="AD102" s="307">
        <f t="shared" si="257"/>
        <v>2483.3893018412</v>
      </c>
      <c r="AE102" s="283"/>
      <c r="AF102" s="308">
        <f t="shared" si="258"/>
        <v>2746.187955204</v>
      </c>
      <c r="AG102" s="308">
        <f t="shared" si="259"/>
        <v>2889.699099204</v>
      </c>
      <c r="AH102" s="308">
        <f t="shared" si="260"/>
        <v>3036.6437044512004</v>
      </c>
      <c r="AI102" s="308">
        <f t="shared" si="261"/>
        <v>3199.0243024055999</v>
      </c>
      <c r="AJ102" s="308">
        <f t="shared" si="262"/>
        <v>3184.3194464783996</v>
      </c>
      <c r="AK102" s="308">
        <f t="shared" si="263"/>
        <v>3184.3194464783996</v>
      </c>
      <c r="AL102" s="308">
        <f t="shared" si="264"/>
        <v>0</v>
      </c>
      <c r="AM102" s="308">
        <f t="shared" si="265"/>
        <v>0</v>
      </c>
      <c r="AN102" s="308">
        <f t="shared" si="266"/>
        <v>0</v>
      </c>
      <c r="AO102" s="308">
        <f t="shared" si="267"/>
        <v>0</v>
      </c>
      <c r="AP102" s="308">
        <f t="shared" si="268"/>
        <v>15570.600116899983</v>
      </c>
      <c r="AQ102" s="283"/>
      <c r="AR102" s="308">
        <f>T102*12</f>
        <v>5492.375910408</v>
      </c>
      <c r="AS102" s="308">
        <f t="shared" si="270"/>
        <v>5468.3521449024001</v>
      </c>
      <c r="AT102" s="308">
        <f t="shared" si="271"/>
        <v>6073.2763449024005</v>
      </c>
      <c r="AU102" s="308">
        <f t="shared" si="272"/>
        <v>6398.0384668679999</v>
      </c>
      <c r="AV102" s="308">
        <f t="shared" si="273"/>
        <v>6368.6287550136003</v>
      </c>
      <c r="AW102" s="308">
        <f t="shared" si="274"/>
        <v>0</v>
      </c>
      <c r="AX102" s="308">
        <f t="shared" si="275"/>
        <v>0</v>
      </c>
      <c r="AY102" s="308">
        <f t="shared" si="276"/>
        <v>0</v>
      </c>
      <c r="AZ102" s="308">
        <f t="shared" si="277"/>
        <v>0</v>
      </c>
      <c r="BA102" s="308">
        <f t="shared" si="278"/>
        <v>0</v>
      </c>
      <c r="BB102" s="308">
        <f t="shared" si="279"/>
        <v>29800.671622094396</v>
      </c>
      <c r="BC102" s="11"/>
      <c r="BF102" s="32"/>
      <c r="BG102" s="32"/>
      <c r="BH102" s="32"/>
    </row>
    <row r="103" spans="1:60" s="16" customFormat="1" ht="12.95" customHeight="1" thickTop="1" thickBot="1" x14ac:dyDescent="0.25">
      <c r="B103" s="42"/>
      <c r="C103" s="26" t="s">
        <v>36</v>
      </c>
      <c r="D103" s="26"/>
      <c r="E103" s="17"/>
      <c r="F103" s="586"/>
      <c r="G103" s="587"/>
      <c r="H103" s="433">
        <f>ROUND(IF('Inkomensgevolgen uitgebreid'!D58&gt;'Tabellen PO-Raad'!$H$13,'Tabellen PO-Raad'!$H$13,'Inkomensgevolgen uitgebreid'!D58)*'Tabellen PO-Raad'!$C$13,2)</f>
        <v>161.58000000000001</v>
      </c>
      <c r="I103" s="307">
        <f>IF(I$79&lt;&gt;"[leeg]",ROUND(IF('Inkomensgevolgen uitgebreid'!D58&gt;'Tabellen PO-Raad'!$H$13,'Tabellen PO-Raad'!$H$13,'Inkomensgevolgen uitgebreid'!D58)*'Tabellen PO-Raad'!$C$13,2),0)</f>
        <v>161.58000000000001</v>
      </c>
      <c r="J103" s="307">
        <f>IF(J$79&lt;&gt;"[leeg]",ROUND(IF('Inkomensgevolgen uitgebreid'!E58&gt;'Tabellen PO-Raad'!$H$13,'Tabellen PO-Raad'!$H$13,'Inkomensgevolgen uitgebreid'!E58)*'Tabellen PO-Raad'!$C$13,2),0)</f>
        <v>170.03</v>
      </c>
      <c r="K103" s="307">
        <f>IF(K$79&lt;&gt;"[leeg]",ROUND(IF('Inkomensgevolgen uitgebreid'!F58&gt;'Tabellen PO-Raad'!$H$13,'Tabellen PO-Raad'!$H$13,'Inkomensgevolgen uitgebreid'!F58)*'Tabellen PO-Raad'!$C$13,2),0)</f>
        <v>178.67</v>
      </c>
      <c r="L103" s="307">
        <f>IF(L$79&lt;&gt;"[leeg]",ROUND(IF('Inkomensgevolgen uitgebreid'!G58&gt;'Tabellen PO-Raad'!$H$13,'Tabellen PO-Raad'!$H$13,'Inkomensgevolgen uitgebreid'!G58)*'Tabellen PO-Raad'!$C$13,2),0)</f>
        <v>188.23</v>
      </c>
      <c r="M103" s="307">
        <f>IF(M$79&lt;&gt;"[leeg]",ROUND(IF('Inkomensgevolgen uitgebreid'!H58&gt;'Tabellen PO-Raad'!$H$13,'Tabellen PO-Raad'!$H$13,'Inkomensgevolgen uitgebreid'!H58)*'Tabellen PO-Raad'!$C$13,2),0)</f>
        <v>187.36</v>
      </c>
      <c r="N103" s="307">
        <f>IF(N$79&lt;&gt;"[leeg]",ROUND(IF('Inkomensgevolgen uitgebreid'!I58&gt;'Tabellen PO-Raad'!$H$13,'Tabellen PO-Raad'!$H$13,'Inkomensgevolgen uitgebreid'!I58)*'Tabellen PO-Raad'!$C$13,2),0)</f>
        <v>0</v>
      </c>
      <c r="O103" s="307">
        <f>IF(O$79&lt;&gt;"[leeg]",ROUND(IF('Inkomensgevolgen uitgebreid'!J58&gt;'Tabellen PO-Raad'!$H$13,'Tabellen PO-Raad'!$H$13,'Inkomensgevolgen uitgebreid'!J58)*'Tabellen PO-Raad'!$C$13,2),0)</f>
        <v>0</v>
      </c>
      <c r="P103" s="307">
        <f>IF(P$79&lt;&gt;"[leeg]",ROUND(IF('Inkomensgevolgen uitgebreid'!K58&gt;'Tabellen PO-Raad'!$H$13,'Tabellen PO-Raad'!$H$13,'Inkomensgevolgen uitgebreid'!K58)*'Tabellen PO-Raad'!$C$13,2),0)</f>
        <v>0</v>
      </c>
      <c r="Q103" s="307">
        <f>IF(Q$79&lt;&gt;"[leeg]",ROUND(IF('Inkomensgevolgen uitgebreid'!L58&gt;'Tabellen PO-Raad'!$H$13,'Tabellen PO-Raad'!$H$13,'Inkomensgevolgen uitgebreid'!L58)*'Tabellen PO-Raad'!$C$13,2),0)</f>
        <v>0</v>
      </c>
      <c r="R103" s="307">
        <f t="shared" si="256"/>
        <v>890.37558904109596</v>
      </c>
      <c r="S103" s="283"/>
      <c r="T103" s="307">
        <f>ROUND(IF('Inkomensgevolgen uitgebreid'!O58&gt;'Tabellen PO-Raad'!$H$13,'Tabellen PO-Raad'!$H$13,'Inkomensgevolgen uitgebreid'!O58)*'Tabellen PO-Raad'!$C$13,2)</f>
        <v>323.17</v>
      </c>
      <c r="U103" s="307">
        <f>IF(U$79&lt;&gt;"[leeg]",ROUND(IF('Inkomensgevolgen uitgebreid'!P58&gt;'Tabellen PO-Raad'!$H$13,'Tabellen PO-Raad'!$H$13,'Inkomensgevolgen uitgebreid'!P58)*'Tabellen PO-Raad'!$C$13,2),0)</f>
        <v>321.75</v>
      </c>
      <c r="V103" s="307">
        <f>IF(V$79&lt;&gt;"[leeg]",ROUND(IF('Inkomensgevolgen uitgebreid'!Q58&gt;'Tabellen PO-Raad'!$H$13,'Tabellen PO-Raad'!$H$13,'Inkomensgevolgen uitgebreid'!Q58)*'Tabellen PO-Raad'!$C$13,2),0)</f>
        <v>340.06</v>
      </c>
      <c r="W103" s="307">
        <f>IF(W$79&lt;&gt;"[leeg]",ROUND(IF('Inkomensgevolgen uitgebreid'!R58&gt;'Tabellen PO-Raad'!$H$13,'Tabellen PO-Raad'!$H$13,'Inkomensgevolgen uitgebreid'!R58)*'Tabellen PO-Raad'!$C$13,2),0)</f>
        <v>357.35</v>
      </c>
      <c r="X103" s="307">
        <f>IF(X$79&lt;&gt;"[leeg]",ROUND(IF('Inkomensgevolgen uitgebreid'!S58&gt;'Tabellen PO-Raad'!$H$13,'Tabellen PO-Raad'!$H$13,'Inkomensgevolgen uitgebreid'!S58)*'Tabellen PO-Raad'!$C$13,2),0)</f>
        <v>376.46</v>
      </c>
      <c r="Y103" s="307">
        <f>IF(Y$79&lt;&gt;"[leeg]",ROUND(IF('Inkomensgevolgen uitgebreid'!T58&gt;'Tabellen PO-Raad'!$H$13,'Tabellen PO-Raad'!$H$13,'Inkomensgevolgen uitgebreid'!T58)*'Tabellen PO-Raad'!$C$13,2),0)</f>
        <v>374.73</v>
      </c>
      <c r="Z103" s="307">
        <f>IF(Z$79&lt;&gt;"[leeg]",ROUND(IF('Inkomensgevolgen uitgebreid'!U58&gt;'Tabellen PO-Raad'!$H$13,'Tabellen PO-Raad'!$H$13,'Inkomensgevolgen uitgebreid'!U58)*'Tabellen PO-Raad'!$C$13,2),0)</f>
        <v>0</v>
      </c>
      <c r="AA103" s="307">
        <f>IF(AA$79&lt;&gt;"[leeg]",ROUND(IF('Inkomensgevolgen uitgebreid'!V58&gt;'Tabellen PO-Raad'!$H$13,'Tabellen PO-Raad'!$H$13,'Inkomensgevolgen uitgebreid'!V58)*'Tabellen PO-Raad'!$C$13,2),0)</f>
        <v>0</v>
      </c>
      <c r="AB103" s="307">
        <f>IF(AB$79&lt;&gt;"[leeg]",ROUND(IF('Inkomensgevolgen uitgebreid'!W58&gt;'Tabellen PO-Raad'!$H$13,'Tabellen PO-Raad'!$H$13,'Inkomensgevolgen uitgebreid'!W58)*'Tabellen PO-Raad'!$C$13,2),0)</f>
        <v>0</v>
      </c>
      <c r="AC103" s="307">
        <f>IF(AC$79&lt;&gt;"[leeg]",ROUND(IF('Inkomensgevolgen uitgebreid'!X58&gt;'Tabellen PO-Raad'!$H$13,'Tabellen PO-Raad'!$H$13,'Inkomensgevolgen uitgebreid'!X58)*'Tabellen PO-Raad'!$C$13,2),0)</f>
        <v>0</v>
      </c>
      <c r="AD103" s="307">
        <f t="shared" si="257"/>
        <v>1779.3627945205478</v>
      </c>
      <c r="AE103" s="283"/>
      <c r="AF103" s="308">
        <f t="shared" si="258"/>
        <v>1938.96</v>
      </c>
      <c r="AG103" s="308">
        <f t="shared" si="259"/>
        <v>1938.96</v>
      </c>
      <c r="AH103" s="308">
        <f t="shared" si="260"/>
        <v>2040.3600000000001</v>
      </c>
      <c r="AI103" s="308">
        <f t="shared" si="261"/>
        <v>2144.04</v>
      </c>
      <c r="AJ103" s="308">
        <f t="shared" si="262"/>
        <v>2258.7599999999998</v>
      </c>
      <c r="AK103" s="308">
        <f t="shared" si="263"/>
        <v>2248.3200000000002</v>
      </c>
      <c r="AL103" s="308">
        <f t="shared" si="264"/>
        <v>0</v>
      </c>
      <c r="AM103" s="308">
        <f t="shared" si="265"/>
        <v>0</v>
      </c>
      <c r="AN103" s="308">
        <f t="shared" si="266"/>
        <v>0</v>
      </c>
      <c r="AO103" s="308">
        <f t="shared" si="267"/>
        <v>0</v>
      </c>
      <c r="AP103" s="308">
        <f t="shared" si="268"/>
        <v>10684.507068493151</v>
      </c>
      <c r="AQ103" s="283"/>
      <c r="AR103" s="308">
        <f t="shared" ref="AR103:AR104" si="280">T103*12</f>
        <v>3878.04</v>
      </c>
      <c r="AS103" s="308">
        <f t="shared" si="270"/>
        <v>3861</v>
      </c>
      <c r="AT103" s="308">
        <f t="shared" si="271"/>
        <v>4080.7200000000003</v>
      </c>
      <c r="AU103" s="308">
        <f t="shared" si="272"/>
        <v>4288.2000000000007</v>
      </c>
      <c r="AV103" s="308">
        <f t="shared" si="273"/>
        <v>4517.5199999999995</v>
      </c>
      <c r="AW103" s="308">
        <f t="shared" si="274"/>
        <v>4496.76</v>
      </c>
      <c r="AX103" s="308">
        <f t="shared" si="275"/>
        <v>0</v>
      </c>
      <c r="AY103" s="308">
        <f t="shared" si="276"/>
        <v>0</v>
      </c>
      <c r="AZ103" s="308">
        <f t="shared" si="277"/>
        <v>0</v>
      </c>
      <c r="BA103" s="308">
        <f t="shared" si="278"/>
        <v>0</v>
      </c>
      <c r="BB103" s="308">
        <f t="shared" si="279"/>
        <v>21352.353534246577</v>
      </c>
      <c r="BC103" s="11"/>
      <c r="BF103" s="32"/>
      <c r="BG103" s="32"/>
      <c r="BH103" s="32"/>
    </row>
    <row r="104" spans="1:60" s="16" customFormat="1" ht="12.95" customHeight="1" thickTop="1" thickBot="1" x14ac:dyDescent="0.25">
      <c r="B104" s="26"/>
      <c r="C104" s="26" t="s">
        <v>14</v>
      </c>
      <c r="D104" s="26"/>
      <c r="E104" s="17"/>
      <c r="F104" s="586"/>
      <c r="G104" s="587"/>
      <c r="H104" s="433">
        <f>IF('Inkomensgevolgen uitgebreid'!D58&gt;'Tabellen PO-Raad'!$G$14*$H$84/12,'Tabellen PO-Raad'!$G$14*$H$84/12,'Inkomensgevolgen uitgebreid'!D58)*'Tabellen PO-Raad'!$C$14</f>
        <v>16.878233997999999</v>
      </c>
      <c r="I104" s="307">
        <f>IF(I$79&lt;&gt;"[leeg]",IF('Inkomensgevolgen uitgebreid'!D58&gt;'Tabellen PO-Raad'!$G$14*$H$84/12,'Tabellen PO-Raad'!$G$14*$H$84/12,'Inkomensgevolgen uitgebreid'!D58)*'Tabellen PO-Raad'!$C$14,0)</f>
        <v>16.878233997999999</v>
      </c>
      <c r="J104" s="307">
        <f>IF(J$79&lt;&gt;"[leeg]",IF('Inkomensgevolgen uitgebreid'!E58&gt;'Tabellen PO-Raad'!$G$14*$H$84/12,'Tabellen PO-Raad'!$G$14*$H$84/12,'Inkomensgevolgen uitgebreid'!E58)*'Tabellen PO-Raad'!$C$14,0)</f>
        <v>17.760261997999997</v>
      </c>
      <c r="K104" s="307">
        <f>IF(K$79&lt;&gt;"[leeg]",IF('Inkomensgevolgen uitgebreid'!F58&gt;'Tabellen PO-Raad'!$G$14*$H$84/12,'Tabellen PO-Raad'!$G$14*$H$84/12,'Inkomensgevolgen uitgebreid'!F58)*'Tabellen PO-Raad'!$C$14,0)</f>
        <v>18.663392254399998</v>
      </c>
      <c r="L104" s="307">
        <f>IF(L$79&lt;&gt;"[leeg]",IF('Inkomensgevolgen uitgebreid'!G58&gt;'Tabellen PO-Raad'!$G$14*$H$84/12,'Tabellen PO-Raad'!$G$14*$H$84/12,'Inkomensgevolgen uitgebreid'!G58)*'Tabellen PO-Raad'!$C$14,0)</f>
        <v>19.661393037199996</v>
      </c>
      <c r="M104" s="307">
        <f>IF(M$79&lt;&gt;"[leeg]",IF('Inkomensgevolgen uitgebreid'!H58&gt;'Tabellen PO-Raad'!$G$14*$H$84/12,'Tabellen PO-Raad'!$G$14*$H$84/12,'Inkomensgevolgen uitgebreid'!H58)*'Tabellen PO-Raad'!$C$14,0)</f>
        <v>19.571016120799996</v>
      </c>
      <c r="N104" s="307">
        <f>IF(N$79&lt;&gt;"[leeg]",IF('Inkomensgevolgen uitgebreid'!I58&gt;'Tabellen PO-Raad'!$G$14*$H$84/12,'Tabellen PO-Raad'!$G$14*$H$84/12,'Inkomensgevolgen uitgebreid'!I58)*'Tabellen PO-Raad'!$C$14,0)</f>
        <v>0</v>
      </c>
      <c r="O104" s="307">
        <f>IF(O$79&lt;&gt;"[leeg]",IF('Inkomensgevolgen uitgebreid'!J58&gt;'Tabellen PO-Raad'!$G$14*$H$84/12,'Tabellen PO-Raad'!$G$14*$H$84/12,'Inkomensgevolgen uitgebreid'!J58)*'Tabellen PO-Raad'!$C$14,0)</f>
        <v>0</v>
      </c>
      <c r="P104" s="307">
        <f>IF(P$79&lt;&gt;"[leeg]",IF('Inkomensgevolgen uitgebreid'!K58&gt;'Tabellen PO-Raad'!$G$14*$H$84/12,'Tabellen PO-Raad'!$G$14*$H$84/12,'Inkomensgevolgen uitgebreid'!K58)*'Tabellen PO-Raad'!$C$14,0)</f>
        <v>0</v>
      </c>
      <c r="Q104" s="307">
        <f>IF(Q$79&lt;&gt;"[leeg]",IF('Inkomensgevolgen uitgebreid'!L58&gt;'Tabellen PO-Raad'!$G$14*$H$84/12,'Tabellen PO-Raad'!$G$14*$H$84/12,'Inkomensgevolgen uitgebreid'!L58)*'Tabellen PO-Raad'!$C$14,0)</f>
        <v>0</v>
      </c>
      <c r="R104" s="307">
        <f t="shared" si="256"/>
        <v>93.005049398277251</v>
      </c>
      <c r="S104" s="283"/>
      <c r="T104" s="307">
        <f>IF('Inkomensgevolgen uitgebreid'!O58&gt;'Tabellen PO-Raad'!$G$14*$H$84/12,'Tabellen PO-Raad'!$G$14*$H$84/12,'Inkomensgevolgen uitgebreid'!O58)*'Tabellen PO-Raad'!$C$14</f>
        <v>21.494799999999998</v>
      </c>
      <c r="U104" s="307">
        <f>IF(U$79&lt;&gt;"[leeg]",IF('Inkomensgevolgen uitgebreid'!P58&gt;'Tabellen PO-Raad'!$G$14*$H$84/12,'Tabellen PO-Raad'!$G$14*$H$84/12,'Inkomensgevolgen uitgebreid'!P58)*'Tabellen PO-Raad'!$C$14,0)</f>
        <v>21.494799999999998</v>
      </c>
      <c r="V104" s="307">
        <f>IF(V$79&lt;&gt;"[leeg]",IF('Inkomensgevolgen uitgebreid'!Q58&gt;'Tabellen PO-Raad'!$G$14*$H$84/12,'Tabellen PO-Raad'!$G$14*$H$84/12,'Inkomensgevolgen uitgebreid'!Q58)*'Tabellen PO-Raad'!$C$14,0)</f>
        <v>21.494799999999998</v>
      </c>
      <c r="W104" s="307">
        <f>IF(W$79&lt;&gt;"[leeg]",IF('Inkomensgevolgen uitgebreid'!R58&gt;'Tabellen PO-Raad'!$G$14*$H$84/12,'Tabellen PO-Raad'!$G$14*$H$84/12,'Inkomensgevolgen uitgebreid'!R58)*'Tabellen PO-Raad'!$C$14,0)</f>
        <v>21.494799999999998</v>
      </c>
      <c r="X104" s="307">
        <f>IF(X$79&lt;&gt;"[leeg]",IF('Inkomensgevolgen uitgebreid'!S58&gt;'Tabellen PO-Raad'!$G$14*$H$84/12,'Tabellen PO-Raad'!$G$14*$H$84/12,'Inkomensgevolgen uitgebreid'!S58)*'Tabellen PO-Raad'!$C$14,0)</f>
        <v>21.494799999999998</v>
      </c>
      <c r="Y104" s="307">
        <f>IF(Y$79&lt;&gt;"[leeg]",IF('Inkomensgevolgen uitgebreid'!T58&gt;'Tabellen PO-Raad'!$G$14*$H$84/12,'Tabellen PO-Raad'!$G$14*$H$84/12,'Inkomensgevolgen uitgebreid'!T58)*'Tabellen PO-Raad'!$C$14,0)</f>
        <v>21.494799999999998</v>
      </c>
      <c r="Z104" s="307">
        <f>IF(Z$79&lt;&gt;"[leeg]",IF('Inkomensgevolgen uitgebreid'!U58&gt;'Tabellen PO-Raad'!$G$14*$H$84/12,'Tabellen PO-Raad'!$G$14*$H$84/12,'Inkomensgevolgen uitgebreid'!U58)*'Tabellen PO-Raad'!$C$14,0)</f>
        <v>0</v>
      </c>
      <c r="AA104" s="307">
        <f>IF(AA$79&lt;&gt;"[leeg]",IF('Inkomensgevolgen uitgebreid'!V58&gt;'Tabellen PO-Raad'!$G$14*$H$84/12,'Tabellen PO-Raad'!$G$14*$H$84/12,'Inkomensgevolgen uitgebreid'!V58)*'Tabellen PO-Raad'!$C$14,0)</f>
        <v>0</v>
      </c>
      <c r="AB104" s="307">
        <f>IF(AB$79&lt;&gt;"[leeg]",IF('Inkomensgevolgen uitgebreid'!W58&gt;'Tabellen PO-Raad'!$G$14*$H$84/12,'Tabellen PO-Raad'!$G$14*$H$84/12,'Inkomensgevolgen uitgebreid'!W58)*'Tabellen PO-Raad'!$C$14,0)</f>
        <v>0</v>
      </c>
      <c r="AC104" s="307">
        <f>IF(AC$79&lt;&gt;"[leeg]",IF('Inkomensgevolgen uitgebreid'!X58&gt;'Tabellen PO-Raad'!$G$14*$H$84/12,'Tabellen PO-Raad'!$G$14*$H$84/12,'Inkomensgevolgen uitgebreid'!X58)*'Tabellen PO-Raad'!$C$14,0)</f>
        <v>0</v>
      </c>
      <c r="AD104" s="307">
        <f t="shared" si="257"/>
        <v>110.94850191780822</v>
      </c>
      <c r="AE104" s="283"/>
      <c r="AF104" s="308">
        <f t="shared" si="258"/>
        <v>202.53880797599999</v>
      </c>
      <c r="AG104" s="308">
        <f t="shared" si="259"/>
        <v>202.53880797599999</v>
      </c>
      <c r="AH104" s="308">
        <f t="shared" si="260"/>
        <v>213.12314397599997</v>
      </c>
      <c r="AI104" s="308">
        <f t="shared" si="261"/>
        <v>223.96070705279999</v>
      </c>
      <c r="AJ104" s="308">
        <f t="shared" si="262"/>
        <v>235.93671644639994</v>
      </c>
      <c r="AK104" s="308">
        <f t="shared" si="263"/>
        <v>234.85219344959995</v>
      </c>
      <c r="AL104" s="308">
        <f t="shared" si="264"/>
        <v>0</v>
      </c>
      <c r="AM104" s="308">
        <f t="shared" si="265"/>
        <v>0</v>
      </c>
      <c r="AN104" s="308">
        <f t="shared" si="266"/>
        <v>0</v>
      </c>
      <c r="AO104" s="308">
        <f t="shared" si="267"/>
        <v>0</v>
      </c>
      <c r="AP104" s="308">
        <f t="shared" si="268"/>
        <v>1116.060592779327</v>
      </c>
      <c r="AQ104" s="283"/>
      <c r="AR104" s="308">
        <f t="shared" si="280"/>
        <v>257.93759999999997</v>
      </c>
      <c r="AS104" s="308">
        <f t="shared" si="270"/>
        <v>257.93759999999997</v>
      </c>
      <c r="AT104" s="308">
        <f t="shared" si="271"/>
        <v>257.93759999999997</v>
      </c>
      <c r="AU104" s="308">
        <f t="shared" si="272"/>
        <v>257.93759999999997</v>
      </c>
      <c r="AV104" s="308">
        <f t="shared" si="273"/>
        <v>257.93759999999997</v>
      </c>
      <c r="AW104" s="308">
        <f t="shared" si="274"/>
        <v>257.93759999999997</v>
      </c>
      <c r="AX104" s="308">
        <f t="shared" si="275"/>
        <v>0</v>
      </c>
      <c r="AY104" s="308">
        <f t="shared" si="276"/>
        <v>0</v>
      </c>
      <c r="AZ104" s="308">
        <f t="shared" si="277"/>
        <v>0</v>
      </c>
      <c r="BA104" s="308">
        <f t="shared" si="278"/>
        <v>0</v>
      </c>
      <c r="BB104" s="308">
        <f t="shared" si="279"/>
        <v>1331.3820230136985</v>
      </c>
      <c r="BC104" s="11"/>
      <c r="BF104" s="32"/>
      <c r="BG104" s="32"/>
      <c r="BH104" s="32"/>
    </row>
    <row r="105" spans="1:60" s="16" customFormat="1" ht="12.95" customHeight="1" collapsed="1" thickTop="1" thickBot="1" x14ac:dyDescent="0.25">
      <c r="B105" s="26"/>
      <c r="C105" s="28" t="s">
        <v>51</v>
      </c>
      <c r="D105" s="28"/>
      <c r="E105" s="82"/>
      <c r="F105" s="594"/>
      <c r="G105" s="595"/>
      <c r="H105" s="429">
        <f>SUM(H99:H104)</f>
        <v>769.22301526500007</v>
      </c>
      <c r="I105" s="309">
        <f t="shared" ref="I105" si="281">SUM(I99:I104)</f>
        <v>781.18227726500015</v>
      </c>
      <c r="J105" s="309">
        <f t="shared" ref="J105:Q105" si="282">SUM(J99:J104)</f>
        <v>828.09205203560009</v>
      </c>
      <c r="K105" s="309">
        <f t="shared" si="282"/>
        <v>879.22564978819992</v>
      </c>
      <c r="L105" s="309">
        <f t="shared" si="282"/>
        <v>919.56993291039998</v>
      </c>
      <c r="M105" s="309">
        <f t="shared" si="282"/>
        <v>918.60955599399995</v>
      </c>
      <c r="N105" s="309">
        <f t="shared" si="282"/>
        <v>0</v>
      </c>
      <c r="O105" s="309">
        <f t="shared" si="282"/>
        <v>0</v>
      </c>
      <c r="P105" s="309">
        <f t="shared" si="282"/>
        <v>0</v>
      </c>
      <c r="Q105" s="309">
        <f t="shared" si="282"/>
        <v>0</v>
      </c>
      <c r="R105" s="309">
        <f t="shared" si="256"/>
        <v>4325.7804993289838</v>
      </c>
      <c r="S105" s="283"/>
      <c r="T105" s="309">
        <f>SUM(T99:T104)</f>
        <v>1526.194362534</v>
      </c>
      <c r="U105" s="309">
        <f>SUM(U99:U104)</f>
        <v>1573.4371080752001</v>
      </c>
      <c r="V105" s="309">
        <f t="shared" ref="V105:AC105" si="283">SUM(V99:V104)</f>
        <v>1642.1574580751999</v>
      </c>
      <c r="W105" s="309">
        <f t="shared" si="283"/>
        <v>1742.6265172389999</v>
      </c>
      <c r="X105" s="309">
        <f t="shared" si="283"/>
        <v>1821.3090819177999</v>
      </c>
      <c r="Y105" s="309">
        <f t="shared" si="283"/>
        <v>1288.8600189999997</v>
      </c>
      <c r="Z105" s="309">
        <f t="shared" si="283"/>
        <v>0</v>
      </c>
      <c r="AA105" s="309">
        <f t="shared" si="283"/>
        <v>0</v>
      </c>
      <c r="AB105" s="309">
        <f t="shared" si="283"/>
        <v>0</v>
      </c>
      <c r="AC105" s="309">
        <f t="shared" si="283"/>
        <v>0</v>
      </c>
      <c r="AD105" s="309">
        <f t="shared" si="257"/>
        <v>8514.0608048850354</v>
      </c>
      <c r="AE105" s="283"/>
      <c r="AF105" s="309">
        <f>SUM(AF99:AF104)</f>
        <v>9230.6761831799995</v>
      </c>
      <c r="AG105" s="309">
        <f t="shared" ref="AG105" si="284">SUM(AG99:AG104)</f>
        <v>9374.1873271799996</v>
      </c>
      <c r="AH105" s="309">
        <f t="shared" ref="AH105" si="285">SUM(AH99:AH104)</f>
        <v>9937.1046244272002</v>
      </c>
      <c r="AI105" s="309">
        <f t="shared" ref="AI105" si="286">SUM(AI99:AI104)</f>
        <v>10550.707797458399</v>
      </c>
      <c r="AJ105" s="309">
        <f t="shared" ref="AJ105" si="287">SUM(AJ99:AJ104)</f>
        <v>11034.8391949248</v>
      </c>
      <c r="AK105" s="309">
        <f t="shared" ref="AK105" si="288">SUM(AK99:AK104)</f>
        <v>11023.314671927999</v>
      </c>
      <c r="AL105" s="309">
        <f t="shared" ref="AL105" si="289">SUM(AL99:AL104)</f>
        <v>0</v>
      </c>
      <c r="AM105" s="309">
        <f t="shared" ref="AM105" si="290">SUM(AM99:AM104)</f>
        <v>0</v>
      </c>
      <c r="AN105" s="309">
        <f t="shared" ref="AN105" si="291">SUM(AN99:AN104)</f>
        <v>0</v>
      </c>
      <c r="AO105" s="309">
        <f t="shared" ref="AO105" si="292">SUM(AO99:AO104)</f>
        <v>0</v>
      </c>
      <c r="AP105" s="309">
        <f t="shared" si="268"/>
        <v>51909.365991947794</v>
      </c>
      <c r="AQ105" s="283"/>
      <c r="AR105" s="309">
        <f>SUM(AR99:AR104)</f>
        <v>18314.332350408</v>
      </c>
      <c r="AS105" s="309">
        <f t="shared" ref="AS105:BA105" si="293">SUM(AS99:AS104)</f>
        <v>18881.245296902402</v>
      </c>
      <c r="AT105" s="309">
        <f t="shared" si="293"/>
        <v>19705.8894969024</v>
      </c>
      <c r="AU105" s="309">
        <f t="shared" si="293"/>
        <v>20911.518206868004</v>
      </c>
      <c r="AV105" s="309">
        <f t="shared" si="293"/>
        <v>21855.708983013599</v>
      </c>
      <c r="AW105" s="309">
        <f t="shared" si="293"/>
        <v>15466.320227999997</v>
      </c>
      <c r="AX105" s="309">
        <f t="shared" si="293"/>
        <v>0</v>
      </c>
      <c r="AY105" s="309">
        <f t="shared" si="293"/>
        <v>0</v>
      </c>
      <c r="AZ105" s="309">
        <f t="shared" si="293"/>
        <v>0</v>
      </c>
      <c r="BA105" s="309">
        <f t="shared" si="293"/>
        <v>0</v>
      </c>
      <c r="BB105" s="309">
        <f t="shared" si="279"/>
        <v>102168.72965862043</v>
      </c>
      <c r="BC105" s="11"/>
      <c r="BF105" s="32"/>
      <c r="BG105" s="32"/>
      <c r="BH105" s="32"/>
    </row>
    <row r="106" spans="1:60" s="16" customFormat="1" ht="12.95" customHeight="1" thickTop="1" thickBot="1" x14ac:dyDescent="0.25">
      <c r="B106" s="26"/>
      <c r="C106" s="26" t="s">
        <v>60</v>
      </c>
      <c r="D106" s="427"/>
      <c r="E106" s="136"/>
      <c r="F106" s="600"/>
      <c r="G106" s="596">
        <f>'Invoer gegevens'!F36</f>
        <v>2</v>
      </c>
      <c r="H106" s="428">
        <f>(H86+H87)*VLOOKUP($G$49,'Tabellen PO-Raad'!$A$15:$C$21,3)</f>
        <v>105.27947999999999</v>
      </c>
      <c r="I106" s="307">
        <f>IF(I$79&lt;&gt;"[leeg]",(I86+I87)*VLOOKUP($G$49,'Tabellen PO-Raad'!$A$15:$C$21,3),0)</f>
        <v>110.45753999999999</v>
      </c>
      <c r="J106" s="307">
        <f>IF(J$79&lt;&gt;"[leeg]",(J86+J87)*VLOOKUP($G$49,'Tabellen PO-Raad'!$A$15:$C$21,3),0)</f>
        <v>116.19287999999999</v>
      </c>
      <c r="K106" s="307">
        <f>IF(K$79&lt;&gt;"[leeg]",(K86+K87)*VLOOKUP($G$49,'Tabellen PO-Raad'!$A$15:$C$21,3),0)</f>
        <v>122.53193999999999</v>
      </c>
      <c r="L106" s="307">
        <f>IF(L$79&lt;&gt;"[leeg]",(L86+L87)*VLOOKUP($G$49,'Tabellen PO-Raad'!$A$15:$C$21,3),0)</f>
        <v>122.53193999999999</v>
      </c>
      <c r="M106" s="307">
        <f>IF(M$79&lt;&gt;"[leeg]",(M86+M87)*VLOOKUP($G$49,'Tabellen PO-Raad'!$A$15:$C$21,3),0)</f>
        <v>122.53193999999999</v>
      </c>
      <c r="N106" s="307">
        <f>IF(N$79&lt;&gt;"[leeg]",(N86+N87)*VLOOKUP($G$49,'Tabellen PO-Raad'!$A$15:$C$21,3),0)</f>
        <v>0</v>
      </c>
      <c r="O106" s="307">
        <f>IF(O$79&lt;&gt;"[leeg]",(O86+O87)*VLOOKUP($G$49,'Tabellen PO-Raad'!$A$15:$C$21,3),0)</f>
        <v>0</v>
      </c>
      <c r="P106" s="307">
        <f>IF(P$79&lt;&gt;"[leeg]",(P86+P87)*VLOOKUP($G$49,'Tabellen PO-Raad'!$A$15:$C$21,3),0)</f>
        <v>0</v>
      </c>
      <c r="Q106" s="307">
        <f>IF(Q$79&lt;&gt;"[leeg]",(Q86+Q87)*VLOOKUP($G$49,'Tabellen PO-Raad'!$A$15:$C$21,3),0)</f>
        <v>0</v>
      </c>
      <c r="R106" s="307">
        <f t="shared" si="256"/>
        <v>596.80031276712316</v>
      </c>
      <c r="S106" s="283"/>
      <c r="T106" s="307">
        <f>(T86+T87)*VLOOKUP($G$49,'Tabellen PO-Raad'!$A$15:$C$21,3)</f>
        <v>210.55895999999998</v>
      </c>
      <c r="U106" s="307">
        <f>(U86+U87)*VLOOKUP($G$49,'Tabellen PO-Raad'!$A$15:$C$21,3)</f>
        <v>220.91507999999999</v>
      </c>
      <c r="V106" s="307">
        <f>IF(V$79&lt;&gt;"[leeg]",(V86+V87)*VLOOKUP($G$49,'Tabellen PO-Raad'!$A$15:$C$21,3),0)</f>
        <v>232.38575999999998</v>
      </c>
      <c r="W106" s="307">
        <f>IF(W$79&lt;&gt;"[leeg]",(W86+W87)*VLOOKUP($G$49,'Tabellen PO-Raad'!$A$15:$C$21,3),0)</f>
        <v>245.06387999999998</v>
      </c>
      <c r="X106" s="307">
        <f>IF(X$79&lt;&gt;"[leeg]",(X86+X87)*VLOOKUP($G$49,'Tabellen PO-Raad'!$A$15:$C$21,3),0)</f>
        <v>245.06387999999998</v>
      </c>
      <c r="Y106" s="307">
        <f>IF(Y$79&lt;&gt;"[leeg]",(Y86+Y87)*VLOOKUP($G$49,'Tabellen PO-Raad'!$A$15:$C$21,3),0)</f>
        <v>245.06387999999998</v>
      </c>
      <c r="Z106" s="307">
        <f>IF(Z$79&lt;&gt;"[leeg]",(Z86+Z87)*VLOOKUP($G$49,'Tabellen PO-Raad'!$A$15:$C$21,3),0)</f>
        <v>0</v>
      </c>
      <c r="AA106" s="307">
        <f>IF(AA$79&lt;&gt;"[leeg]",(AA86+AA87)*VLOOKUP($G$49,'Tabellen PO-Raad'!$A$15:$C$21,3),0)</f>
        <v>0</v>
      </c>
      <c r="AB106" s="307">
        <f>IF(AB$79&lt;&gt;"[leeg]",(AB86+AB87)*VLOOKUP($G$49,'Tabellen PO-Raad'!$A$15:$C$21,3),0)</f>
        <v>0</v>
      </c>
      <c r="AC106" s="307">
        <f>IF(AC$79&lt;&gt;"[leeg]",(AC86+AC87)*VLOOKUP($G$49,'Tabellen PO-Raad'!$A$15:$C$21,3),0)</f>
        <v>0</v>
      </c>
      <c r="AD106" s="307">
        <f t="shared" si="257"/>
        <v>1193.6006255342463</v>
      </c>
      <c r="AE106" s="283"/>
      <c r="AF106" s="307">
        <f>H106*12</f>
        <v>1263.35376</v>
      </c>
      <c r="AG106" s="307">
        <f t="shared" ref="AG106:AG108" si="294">I106*12</f>
        <v>1325.4904799999999</v>
      </c>
      <c r="AH106" s="307">
        <f t="shared" ref="AH106:AH108" si="295">J106*12</f>
        <v>1394.3145599999998</v>
      </c>
      <c r="AI106" s="307">
        <f t="shared" ref="AI106:AI108" si="296">K106*12</f>
        <v>1470.38328</v>
      </c>
      <c r="AJ106" s="307">
        <f t="shared" ref="AJ106:AJ108" si="297">L106*12</f>
        <v>1470.38328</v>
      </c>
      <c r="AK106" s="307">
        <f t="shared" ref="AK106:AK108" si="298">M106*12</f>
        <v>1470.38328</v>
      </c>
      <c r="AL106" s="307">
        <f t="shared" ref="AL106:AL108" si="299">N106*12</f>
        <v>0</v>
      </c>
      <c r="AM106" s="307">
        <f t="shared" ref="AM106:AM108" si="300">O106*12</f>
        <v>0</v>
      </c>
      <c r="AN106" s="307">
        <f t="shared" ref="AN106:AN108" si="301">P106*12</f>
        <v>0</v>
      </c>
      <c r="AO106" s="307">
        <f t="shared" ref="AO106:AO108" si="302">Q106*12</f>
        <v>0</v>
      </c>
      <c r="AP106" s="310">
        <f t="shared" si="268"/>
        <v>7161.6037532054788</v>
      </c>
      <c r="AQ106" s="283"/>
      <c r="AR106" s="307">
        <f>T106*12</f>
        <v>2526.7075199999999</v>
      </c>
      <c r="AS106" s="307">
        <f t="shared" ref="AS106:AS108" si="303">U106*12</f>
        <v>2650.9809599999999</v>
      </c>
      <c r="AT106" s="307">
        <f t="shared" ref="AT106:AT108" si="304">V106*12</f>
        <v>2788.6291199999996</v>
      </c>
      <c r="AU106" s="307">
        <f t="shared" ref="AU106:AU108" si="305">W106*12</f>
        <v>2940.76656</v>
      </c>
      <c r="AV106" s="307">
        <f t="shared" ref="AV106:AV108" si="306">X106*12</f>
        <v>2940.76656</v>
      </c>
      <c r="AW106" s="307">
        <f t="shared" ref="AW106:AW108" si="307">Y106*12</f>
        <v>2940.76656</v>
      </c>
      <c r="AX106" s="307">
        <f t="shared" ref="AX106:AX108" si="308">Z106*12</f>
        <v>0</v>
      </c>
      <c r="AY106" s="307">
        <f t="shared" ref="AY106:AY108" si="309">AA106*12</f>
        <v>0</v>
      </c>
      <c r="AZ106" s="307">
        <f t="shared" ref="AZ106:AZ108" si="310">AB106*12</f>
        <v>0</v>
      </c>
      <c r="BA106" s="307">
        <f t="shared" ref="BA106:BA108" si="311">AC106*12</f>
        <v>0</v>
      </c>
      <c r="BB106" s="310">
        <f t="shared" si="279"/>
        <v>14323.207506410958</v>
      </c>
      <c r="BC106" s="11"/>
      <c r="BF106" s="32"/>
      <c r="BG106" s="32"/>
      <c r="BH106" s="32"/>
    </row>
    <row r="107" spans="1:60" s="16" customFormat="1" ht="12.95" customHeight="1" thickTop="1" thickBot="1" x14ac:dyDescent="0.25">
      <c r="B107" s="26"/>
      <c r="C107" s="26" t="s">
        <v>194</v>
      </c>
      <c r="D107" s="26"/>
      <c r="E107" s="17"/>
      <c r="F107" s="586"/>
      <c r="G107" s="587"/>
      <c r="H107" s="434">
        <v>0</v>
      </c>
      <c r="I107" s="426">
        <v>0</v>
      </c>
      <c r="J107" s="426">
        <v>0</v>
      </c>
      <c r="K107" s="426">
        <v>0</v>
      </c>
      <c r="L107" s="426">
        <v>0</v>
      </c>
      <c r="M107" s="426">
        <v>0</v>
      </c>
      <c r="N107" s="426">
        <v>0</v>
      </c>
      <c r="O107" s="426">
        <v>0</v>
      </c>
      <c r="P107" s="426">
        <v>0</v>
      </c>
      <c r="Q107" s="426">
        <v>0</v>
      </c>
      <c r="R107" s="307">
        <f t="shared" si="256"/>
        <v>0</v>
      </c>
      <c r="S107" s="283"/>
      <c r="T107" s="426">
        <v>0</v>
      </c>
      <c r="U107" s="426">
        <v>0</v>
      </c>
      <c r="V107" s="426">
        <v>0</v>
      </c>
      <c r="W107" s="426">
        <v>0</v>
      </c>
      <c r="X107" s="426">
        <v>0</v>
      </c>
      <c r="Y107" s="426">
        <v>0</v>
      </c>
      <c r="Z107" s="426">
        <v>0</v>
      </c>
      <c r="AA107" s="426">
        <v>0</v>
      </c>
      <c r="AB107" s="426">
        <v>0</v>
      </c>
      <c r="AC107" s="426">
        <v>0</v>
      </c>
      <c r="AD107" s="307">
        <f t="shared" si="257"/>
        <v>0</v>
      </c>
      <c r="AE107" s="283"/>
      <c r="AF107" s="307">
        <f>H107*12</f>
        <v>0</v>
      </c>
      <c r="AG107" s="307">
        <f t="shared" si="294"/>
        <v>0</v>
      </c>
      <c r="AH107" s="307">
        <f t="shared" si="295"/>
        <v>0</v>
      </c>
      <c r="AI107" s="307">
        <f t="shared" si="296"/>
        <v>0</v>
      </c>
      <c r="AJ107" s="307">
        <f t="shared" si="297"/>
        <v>0</v>
      </c>
      <c r="AK107" s="307">
        <f t="shared" si="298"/>
        <v>0</v>
      </c>
      <c r="AL107" s="307">
        <f t="shared" si="299"/>
        <v>0</v>
      </c>
      <c r="AM107" s="307">
        <f t="shared" si="300"/>
        <v>0</v>
      </c>
      <c r="AN107" s="307">
        <f t="shared" si="301"/>
        <v>0</v>
      </c>
      <c r="AO107" s="307">
        <f t="shared" si="302"/>
        <v>0</v>
      </c>
      <c r="AP107" s="307">
        <f t="shared" si="268"/>
        <v>0</v>
      </c>
      <c r="AQ107" s="283"/>
      <c r="AR107" s="307">
        <f t="shared" ref="AR107" si="312">T107*12</f>
        <v>0</v>
      </c>
      <c r="AS107" s="307">
        <f t="shared" si="303"/>
        <v>0</v>
      </c>
      <c r="AT107" s="307">
        <f t="shared" si="304"/>
        <v>0</v>
      </c>
      <c r="AU107" s="307">
        <f t="shared" si="305"/>
        <v>0</v>
      </c>
      <c r="AV107" s="307">
        <f t="shared" si="306"/>
        <v>0</v>
      </c>
      <c r="AW107" s="307">
        <f t="shared" si="307"/>
        <v>0</v>
      </c>
      <c r="AX107" s="307">
        <f t="shared" si="308"/>
        <v>0</v>
      </c>
      <c r="AY107" s="307">
        <f t="shared" si="309"/>
        <v>0</v>
      </c>
      <c r="AZ107" s="307">
        <f t="shared" si="310"/>
        <v>0</v>
      </c>
      <c r="BA107" s="307">
        <f t="shared" si="311"/>
        <v>0</v>
      </c>
      <c r="BB107" s="307">
        <f t="shared" si="279"/>
        <v>0</v>
      </c>
      <c r="BC107" s="11"/>
      <c r="BF107" s="32"/>
      <c r="BG107" s="32"/>
      <c r="BH107" s="32"/>
    </row>
    <row r="108" spans="1:60" s="16" customFormat="1" ht="12.95" customHeight="1" thickTop="1" thickBot="1" x14ac:dyDescent="0.25">
      <c r="B108" s="26"/>
      <c r="C108" s="26" t="s">
        <v>50</v>
      </c>
      <c r="D108" s="26"/>
      <c r="E108" s="17"/>
      <c r="F108" s="586"/>
      <c r="G108" s="587"/>
      <c r="H108" s="433">
        <f>(H86+H87)*'Tabellen PO-Raad'!$C$22</f>
        <v>22.035239999999998</v>
      </c>
      <c r="I108" s="307">
        <f>IF(I$79&lt;&gt;"[leeg]",(I86+I87)*'Tabellen PO-Raad'!$C$22,0)</f>
        <v>23.119019999999999</v>
      </c>
      <c r="J108" s="307">
        <f>IF(J$79&lt;&gt;"[leeg]",(J86+J87)*'Tabellen PO-Raad'!$C$22,0)</f>
        <v>24.319439999999997</v>
      </c>
      <c r="K108" s="307">
        <f>IF(K$79&lt;&gt;"[leeg]",(K86+K87)*'Tabellen PO-Raad'!$C$22,0)</f>
        <v>25.646219999999996</v>
      </c>
      <c r="L108" s="307">
        <f>IF(L$79&lt;&gt;"[leeg]",(L86+L87)*'Tabellen PO-Raad'!$C$22,0)</f>
        <v>25.646219999999996</v>
      </c>
      <c r="M108" s="307">
        <f>IF(M$79&lt;&gt;"[leeg]",(M86+M87)*'Tabellen PO-Raad'!$C$22,0)</f>
        <v>25.646219999999996</v>
      </c>
      <c r="N108" s="307">
        <f>IF(N$79&lt;&gt;"[leeg]",(N86+N87)*'Tabellen PO-Raad'!$C$22,0)</f>
        <v>0</v>
      </c>
      <c r="O108" s="307">
        <f>IF(O$79&lt;&gt;"[leeg]",(O86+O87)*'Tabellen PO-Raad'!$C$22,0)</f>
        <v>0</v>
      </c>
      <c r="P108" s="307">
        <f>IF(P$79&lt;&gt;"[leeg]",(P86+P87)*'Tabellen PO-Raad'!$C$22,0)</f>
        <v>0</v>
      </c>
      <c r="Q108" s="307">
        <f>IF(Q$79&lt;&gt;"[leeg]",(Q86+Q87)*'Tabellen PO-Raad'!$C$22,0)</f>
        <v>0</v>
      </c>
      <c r="R108" s="307">
        <f t="shared" si="256"/>
        <v>124.911693369863</v>
      </c>
      <c r="S108" s="283"/>
      <c r="T108" s="307">
        <f>(T86+T87)*'Tabellen PO-Raad'!$C$22</f>
        <v>44.070479999999996</v>
      </c>
      <c r="U108" s="307">
        <f>(U86+U87)*'Tabellen PO-Raad'!$C$22</f>
        <v>46.238039999999998</v>
      </c>
      <c r="V108" s="307">
        <f>IF(V$79&lt;&gt;"[leeg]",(V86+V87)*'Tabellen PO-Raad'!$C$22,0)</f>
        <v>48.638879999999993</v>
      </c>
      <c r="W108" s="307">
        <f>IF(W$79&lt;&gt;"[leeg]",(W86+W87)*'Tabellen PO-Raad'!$C$22,0)</f>
        <v>51.292439999999992</v>
      </c>
      <c r="X108" s="307">
        <f>IF(X$79&lt;&gt;"[leeg]",(X86+X87)*'Tabellen PO-Raad'!$C$22,0)</f>
        <v>51.292439999999992</v>
      </c>
      <c r="Y108" s="307">
        <f>IF(Y$79&lt;&gt;"[leeg]",(Y86+Y87)*'Tabellen PO-Raad'!$C$22,0)</f>
        <v>51.292439999999992</v>
      </c>
      <c r="Z108" s="307">
        <f>IF(Z$79&lt;&gt;"[leeg]",(Z86+Z87)*'Tabellen PO-Raad'!$C$22,0)</f>
        <v>0</v>
      </c>
      <c r="AA108" s="307">
        <f>IF(AA$79&lt;&gt;"[leeg]",(AA86+AA87)*'Tabellen PO-Raad'!$C$22,0)</f>
        <v>0</v>
      </c>
      <c r="AB108" s="307">
        <f>IF(AB$79&lt;&gt;"[leeg]",(AB86+AB87)*'Tabellen PO-Raad'!$C$22,0)</f>
        <v>0</v>
      </c>
      <c r="AC108" s="307">
        <f>IF(AC$79&lt;&gt;"[leeg]",(AC86+AC87)*'Tabellen PO-Raad'!$C$22,0)</f>
        <v>0</v>
      </c>
      <c r="AD108" s="307">
        <f t="shared" si="257"/>
        <v>249.823386739726</v>
      </c>
      <c r="AE108" s="283"/>
      <c r="AF108" s="307">
        <f>H108*12</f>
        <v>264.42287999999996</v>
      </c>
      <c r="AG108" s="307">
        <f t="shared" si="294"/>
        <v>277.42823999999996</v>
      </c>
      <c r="AH108" s="307">
        <f t="shared" si="295"/>
        <v>291.83327999999995</v>
      </c>
      <c r="AI108" s="307">
        <f t="shared" si="296"/>
        <v>307.75463999999994</v>
      </c>
      <c r="AJ108" s="307">
        <f t="shared" si="297"/>
        <v>307.75463999999994</v>
      </c>
      <c r="AK108" s="307">
        <f t="shared" si="298"/>
        <v>307.75463999999994</v>
      </c>
      <c r="AL108" s="307">
        <f t="shared" si="299"/>
        <v>0</v>
      </c>
      <c r="AM108" s="307">
        <f t="shared" si="300"/>
        <v>0</v>
      </c>
      <c r="AN108" s="307">
        <f t="shared" si="301"/>
        <v>0</v>
      </c>
      <c r="AO108" s="307">
        <f t="shared" si="302"/>
        <v>0</v>
      </c>
      <c r="AP108" s="307">
        <f t="shared" si="268"/>
        <v>1498.9403204383557</v>
      </c>
      <c r="AQ108" s="283"/>
      <c r="AR108" s="307">
        <f>T108*12</f>
        <v>528.84575999999993</v>
      </c>
      <c r="AS108" s="307">
        <f t="shared" si="303"/>
        <v>554.85647999999992</v>
      </c>
      <c r="AT108" s="307">
        <f t="shared" si="304"/>
        <v>583.66655999999989</v>
      </c>
      <c r="AU108" s="307">
        <f t="shared" si="305"/>
        <v>615.50927999999988</v>
      </c>
      <c r="AV108" s="307">
        <f t="shared" si="306"/>
        <v>615.50927999999988</v>
      </c>
      <c r="AW108" s="307">
        <f t="shared" si="307"/>
        <v>615.50927999999988</v>
      </c>
      <c r="AX108" s="307">
        <f t="shared" si="308"/>
        <v>0</v>
      </c>
      <c r="AY108" s="307">
        <f t="shared" si="309"/>
        <v>0</v>
      </c>
      <c r="AZ108" s="307">
        <f t="shared" si="310"/>
        <v>0</v>
      </c>
      <c r="BA108" s="307">
        <f t="shared" si="311"/>
        <v>0</v>
      </c>
      <c r="BB108" s="307">
        <f t="shared" si="279"/>
        <v>2997.8806408767114</v>
      </c>
      <c r="BC108" s="11"/>
      <c r="BF108" s="32"/>
      <c r="BG108" s="32"/>
      <c r="BH108" s="32"/>
    </row>
    <row r="109" spans="1:60" s="16" customFormat="1" ht="12.95" customHeight="1" collapsed="1" thickTop="1" thickBot="1" x14ac:dyDescent="0.25">
      <c r="B109" s="26"/>
      <c r="C109" s="28" t="s">
        <v>169</v>
      </c>
      <c r="D109" s="28"/>
      <c r="E109" s="82"/>
      <c r="F109" s="586"/>
      <c r="G109" s="587"/>
      <c r="H109" s="429">
        <f>SUM(H106:H108)</f>
        <v>127.31471999999999</v>
      </c>
      <c r="I109" s="309">
        <f t="shared" ref="I109" si="313">SUM(I106:I108)</f>
        <v>133.57656</v>
      </c>
      <c r="J109" s="309">
        <f t="shared" ref="J109:Q109" si="314">SUM(J106:J108)</f>
        <v>140.51231999999999</v>
      </c>
      <c r="K109" s="309">
        <f t="shared" si="314"/>
        <v>148.17815999999999</v>
      </c>
      <c r="L109" s="309">
        <f t="shared" si="314"/>
        <v>148.17815999999999</v>
      </c>
      <c r="M109" s="309">
        <f t="shared" si="314"/>
        <v>148.17815999999999</v>
      </c>
      <c r="N109" s="309">
        <f t="shared" si="314"/>
        <v>0</v>
      </c>
      <c r="O109" s="309">
        <f t="shared" si="314"/>
        <v>0</v>
      </c>
      <c r="P109" s="309">
        <f t="shared" si="314"/>
        <v>0</v>
      </c>
      <c r="Q109" s="309">
        <f t="shared" si="314"/>
        <v>0</v>
      </c>
      <c r="R109" s="309">
        <f t="shared" si="256"/>
        <v>721.71200613698625</v>
      </c>
      <c r="S109" s="283"/>
      <c r="T109" s="309">
        <f>SUM(T106:T108)</f>
        <v>254.62943999999999</v>
      </c>
      <c r="U109" s="309">
        <f>SUM(U106:U108)</f>
        <v>267.15312</v>
      </c>
      <c r="V109" s="309">
        <f t="shared" ref="V109:AC109" si="315">SUM(V106:V108)</f>
        <v>281.02463999999998</v>
      </c>
      <c r="W109" s="309">
        <f t="shared" si="315"/>
        <v>296.35631999999998</v>
      </c>
      <c r="X109" s="309">
        <f t="shared" si="315"/>
        <v>296.35631999999998</v>
      </c>
      <c r="Y109" s="309">
        <f t="shared" si="315"/>
        <v>296.35631999999998</v>
      </c>
      <c r="Z109" s="309">
        <f t="shared" si="315"/>
        <v>0</v>
      </c>
      <c r="AA109" s="309">
        <f t="shared" si="315"/>
        <v>0</v>
      </c>
      <c r="AB109" s="309">
        <f t="shared" si="315"/>
        <v>0</v>
      </c>
      <c r="AC109" s="309">
        <f t="shared" si="315"/>
        <v>0</v>
      </c>
      <c r="AD109" s="309">
        <f t="shared" si="257"/>
        <v>1443.4240122739725</v>
      </c>
      <c r="AE109" s="283"/>
      <c r="AF109" s="309">
        <f>SUM(AF106:AF108)</f>
        <v>1527.77664</v>
      </c>
      <c r="AG109" s="309">
        <f>SUM(AG106:AG108)</f>
        <v>1602.9187199999999</v>
      </c>
      <c r="AH109" s="309">
        <f t="shared" ref="AH109:AO109" si="316">SUM(AH106:AH108)</f>
        <v>1686.1478399999996</v>
      </c>
      <c r="AI109" s="309">
        <f t="shared" si="316"/>
        <v>1778.1379199999999</v>
      </c>
      <c r="AJ109" s="309">
        <f t="shared" si="316"/>
        <v>1778.1379199999999</v>
      </c>
      <c r="AK109" s="309">
        <f t="shared" si="316"/>
        <v>1778.1379199999999</v>
      </c>
      <c r="AL109" s="309">
        <f t="shared" si="316"/>
        <v>0</v>
      </c>
      <c r="AM109" s="309">
        <f t="shared" si="316"/>
        <v>0</v>
      </c>
      <c r="AN109" s="309">
        <f t="shared" si="316"/>
        <v>0</v>
      </c>
      <c r="AO109" s="309">
        <f t="shared" si="316"/>
        <v>0</v>
      </c>
      <c r="AP109" s="309">
        <f t="shared" si="268"/>
        <v>8660.5440736438359</v>
      </c>
      <c r="AQ109" s="283"/>
      <c r="AR109" s="309">
        <f>SUM(AR106:AR108)</f>
        <v>3055.5532800000001</v>
      </c>
      <c r="AS109" s="309">
        <f t="shared" ref="AS109:BA109" si="317">SUM(AS106:AS108)</f>
        <v>3205.8374399999998</v>
      </c>
      <c r="AT109" s="309">
        <f t="shared" si="317"/>
        <v>3372.2956799999993</v>
      </c>
      <c r="AU109" s="309">
        <f t="shared" si="317"/>
        <v>3556.2758399999998</v>
      </c>
      <c r="AV109" s="309">
        <f t="shared" si="317"/>
        <v>3556.2758399999998</v>
      </c>
      <c r="AW109" s="309">
        <f t="shared" si="317"/>
        <v>3556.2758399999998</v>
      </c>
      <c r="AX109" s="309">
        <f t="shared" si="317"/>
        <v>0</v>
      </c>
      <c r="AY109" s="309">
        <f t="shared" si="317"/>
        <v>0</v>
      </c>
      <c r="AZ109" s="309">
        <f t="shared" si="317"/>
        <v>0</v>
      </c>
      <c r="BA109" s="309">
        <f t="shared" si="317"/>
        <v>0</v>
      </c>
      <c r="BB109" s="309">
        <f t="shared" si="279"/>
        <v>17321.088147287672</v>
      </c>
      <c r="BC109" s="11"/>
      <c r="BF109" s="32"/>
      <c r="BG109" s="32"/>
      <c r="BH109" s="32"/>
    </row>
    <row r="110" spans="1:60" s="16" customFormat="1" ht="12.95" customHeight="1" thickTop="1" thickBot="1" x14ac:dyDescent="0.25">
      <c r="B110" s="26"/>
      <c r="C110" s="28" t="s">
        <v>288</v>
      </c>
      <c r="D110" s="28"/>
      <c r="E110" s="82"/>
      <c r="F110" s="586"/>
      <c r="G110" s="587"/>
      <c r="H110" s="429">
        <f>H105+H109</f>
        <v>896.53773526500004</v>
      </c>
      <c r="I110" s="309">
        <f t="shared" ref="I110" si="318">I105+I109</f>
        <v>914.75883726500012</v>
      </c>
      <c r="J110" s="309">
        <f t="shared" ref="J110" si="319">J105+J109</f>
        <v>968.60437203560014</v>
      </c>
      <c r="K110" s="309">
        <f t="shared" ref="K110" si="320">K105+K109</f>
        <v>1027.4038097881999</v>
      </c>
      <c r="L110" s="309">
        <f t="shared" ref="L110" si="321">L105+L109</f>
        <v>1067.7480929103999</v>
      </c>
      <c r="M110" s="309">
        <f t="shared" ref="M110" si="322">M105+M109</f>
        <v>1066.7877159939999</v>
      </c>
      <c r="N110" s="309">
        <f t="shared" ref="N110" si="323">N105+N109</f>
        <v>0</v>
      </c>
      <c r="O110" s="309">
        <f t="shared" ref="O110" si="324">O105+O109</f>
        <v>0</v>
      </c>
      <c r="P110" s="309">
        <f t="shared" ref="P110" si="325">P105+P109</f>
        <v>0</v>
      </c>
      <c r="Q110" s="309">
        <f t="shared" ref="Q110" si="326">Q105+Q109</f>
        <v>0</v>
      </c>
      <c r="R110" s="309">
        <f t="shared" ref="R110" si="327">R105+R109</f>
        <v>5047.4925054659698</v>
      </c>
      <c r="S110" s="283"/>
      <c r="T110" s="309">
        <f>T105+T109</f>
        <v>1780.8238025339999</v>
      </c>
      <c r="U110" s="309">
        <f t="shared" ref="U110" si="328">U105+U109</f>
        <v>1840.5902280752</v>
      </c>
      <c r="V110" s="309">
        <f t="shared" ref="V110" si="329">V105+V109</f>
        <v>1923.1820980752</v>
      </c>
      <c r="W110" s="309">
        <f t="shared" ref="W110" si="330">W105+W109</f>
        <v>2038.9828372389998</v>
      </c>
      <c r="X110" s="309">
        <f t="shared" ref="X110" si="331">X105+X109</f>
        <v>2117.6654019178</v>
      </c>
      <c r="Y110" s="309">
        <f t="shared" ref="Y110" si="332">Y105+Y109</f>
        <v>1585.2163389999996</v>
      </c>
      <c r="Z110" s="309">
        <f t="shared" ref="Z110" si="333">Z105+Z109</f>
        <v>0</v>
      </c>
      <c r="AA110" s="309">
        <f t="shared" ref="AA110" si="334">AA105+AA109</f>
        <v>0</v>
      </c>
      <c r="AB110" s="309">
        <f t="shared" ref="AB110" si="335">AB105+AB109</f>
        <v>0</v>
      </c>
      <c r="AC110" s="309">
        <f t="shared" ref="AC110" si="336">AC105+AC109</f>
        <v>0</v>
      </c>
      <c r="AD110" s="309">
        <f t="shared" ref="AD110" si="337">AD105+AD109</f>
        <v>9957.4848171590074</v>
      </c>
      <c r="AE110" s="283"/>
      <c r="AF110" s="309">
        <f>AF105+AF109</f>
        <v>10758.45282318</v>
      </c>
      <c r="AG110" s="309">
        <f t="shared" ref="AG110" si="338">AG105+AG109</f>
        <v>10977.106047179999</v>
      </c>
      <c r="AH110" s="309">
        <f t="shared" ref="AH110" si="339">AH105+AH109</f>
        <v>11623.2524644272</v>
      </c>
      <c r="AI110" s="309">
        <f t="shared" ref="AI110" si="340">AI105+AI109</f>
        <v>12328.845717458398</v>
      </c>
      <c r="AJ110" s="309">
        <f t="shared" ref="AJ110" si="341">AJ105+AJ109</f>
        <v>12812.977114924799</v>
      </c>
      <c r="AK110" s="309">
        <f t="shared" ref="AK110" si="342">AK105+AK109</f>
        <v>12801.452591927999</v>
      </c>
      <c r="AL110" s="309">
        <f t="shared" ref="AL110" si="343">AL105+AL109</f>
        <v>0</v>
      </c>
      <c r="AM110" s="309">
        <f t="shared" ref="AM110" si="344">AM105+AM109</f>
        <v>0</v>
      </c>
      <c r="AN110" s="309">
        <f t="shared" ref="AN110" si="345">AN105+AN109</f>
        <v>0</v>
      </c>
      <c r="AO110" s="309">
        <f t="shared" ref="AO110" si="346">AO105+AO109</f>
        <v>0</v>
      </c>
      <c r="AP110" s="309">
        <f t="shared" ref="AP110" si="347">AP105+AP109</f>
        <v>60569.910065591626</v>
      </c>
      <c r="AQ110" s="283"/>
      <c r="AR110" s="309">
        <f>AR105+AR109</f>
        <v>21369.885630408</v>
      </c>
      <c r="AS110" s="309">
        <f t="shared" ref="AS110" si="348">AS105+AS109</f>
        <v>22087.082736902401</v>
      </c>
      <c r="AT110" s="309">
        <f t="shared" ref="AT110" si="349">AT105+AT109</f>
        <v>23078.1851769024</v>
      </c>
      <c r="AU110" s="309">
        <f t="shared" ref="AU110" si="350">AU105+AU109</f>
        <v>24467.794046868003</v>
      </c>
      <c r="AV110" s="309">
        <f t="shared" ref="AV110" si="351">AV105+AV109</f>
        <v>25411.984823013598</v>
      </c>
      <c r="AW110" s="309">
        <f t="shared" ref="AW110" si="352">AW105+AW109</f>
        <v>19022.596067999995</v>
      </c>
      <c r="AX110" s="309">
        <f t="shared" ref="AX110" si="353">AX105+AX109</f>
        <v>0</v>
      </c>
      <c r="AY110" s="309">
        <f t="shared" ref="AY110" si="354">AY105+AY109</f>
        <v>0</v>
      </c>
      <c r="AZ110" s="309">
        <f t="shared" ref="AZ110" si="355">AZ105+AZ109</f>
        <v>0</v>
      </c>
      <c r="BA110" s="309">
        <f t="shared" ref="BA110" si="356">BA105+BA109</f>
        <v>0</v>
      </c>
      <c r="BB110" s="309">
        <f t="shared" ref="BB110" si="357">BB105+BB109</f>
        <v>119489.8178059081</v>
      </c>
      <c r="BC110" s="11"/>
      <c r="BF110" s="32"/>
      <c r="BG110" s="32"/>
      <c r="BH110" s="32"/>
    </row>
    <row r="111" spans="1:60" s="16" customFormat="1" ht="12.95" customHeight="1" thickTop="1" x14ac:dyDescent="0.2">
      <c r="B111" s="26"/>
      <c r="C111" s="28"/>
      <c r="D111" s="28"/>
      <c r="E111" s="82"/>
      <c r="F111" s="586"/>
      <c r="G111" s="587"/>
      <c r="H111" s="287"/>
      <c r="I111" s="287"/>
      <c r="J111" s="287"/>
      <c r="K111" s="287"/>
      <c r="L111" s="287"/>
      <c r="M111" s="287"/>
      <c r="N111" s="287"/>
      <c r="O111" s="287"/>
      <c r="P111" s="287"/>
      <c r="Q111" s="287"/>
      <c r="R111" s="287"/>
      <c r="S111" s="283"/>
      <c r="T111" s="287"/>
      <c r="U111" s="287"/>
      <c r="V111" s="287"/>
      <c r="W111" s="287"/>
      <c r="X111" s="287"/>
      <c r="Y111" s="287"/>
      <c r="Z111" s="287"/>
      <c r="AA111" s="287"/>
      <c r="AB111" s="287"/>
      <c r="AC111" s="287"/>
      <c r="AD111" s="287"/>
      <c r="AE111" s="283"/>
      <c r="AF111" s="287"/>
      <c r="AG111" s="287"/>
      <c r="AH111" s="287"/>
      <c r="AI111" s="287"/>
      <c r="AJ111" s="287"/>
      <c r="AK111" s="287"/>
      <c r="AL111" s="287"/>
      <c r="AM111" s="287"/>
      <c r="AN111" s="287"/>
      <c r="AO111" s="287"/>
      <c r="AP111" s="287"/>
      <c r="AQ111" s="283"/>
      <c r="AR111" s="287"/>
      <c r="AS111" s="287"/>
      <c r="AT111" s="287"/>
      <c r="AU111" s="287"/>
      <c r="AV111" s="287"/>
      <c r="AW111" s="287"/>
      <c r="AX111" s="287"/>
      <c r="AY111" s="287"/>
      <c r="AZ111" s="287"/>
      <c r="BA111" s="287"/>
      <c r="BB111" s="287"/>
      <c r="BC111" s="11"/>
      <c r="BF111" s="32"/>
      <c r="BG111" s="32"/>
      <c r="BH111" s="32"/>
    </row>
    <row r="112" spans="1:60" ht="12.95" customHeight="1" thickBot="1" x14ac:dyDescent="0.25">
      <c r="B112" s="26"/>
      <c r="C112" s="28"/>
      <c r="D112" s="28"/>
      <c r="E112" s="82"/>
      <c r="F112" s="594"/>
      <c r="G112" s="595"/>
      <c r="H112" s="285"/>
      <c r="I112" s="285"/>
      <c r="J112" s="285"/>
      <c r="K112" s="285"/>
      <c r="L112" s="285"/>
      <c r="M112" s="285"/>
      <c r="N112" s="285"/>
      <c r="O112" s="285"/>
      <c r="P112" s="285"/>
      <c r="Q112" s="285"/>
      <c r="R112" s="285"/>
      <c r="S112" s="283"/>
      <c r="T112" s="285"/>
      <c r="U112" s="285"/>
      <c r="V112" s="285"/>
      <c r="W112" s="285"/>
      <c r="X112" s="285"/>
      <c r="Y112" s="285"/>
      <c r="Z112" s="285"/>
      <c r="AA112" s="285"/>
      <c r="AB112" s="285"/>
      <c r="AC112" s="285"/>
      <c r="AD112" s="285"/>
      <c r="AE112" s="283"/>
      <c r="AF112" s="285"/>
      <c r="AG112" s="285"/>
      <c r="AH112" s="285"/>
      <c r="AI112" s="285"/>
      <c r="AJ112" s="285"/>
      <c r="AK112" s="285"/>
      <c r="AL112" s="285"/>
      <c r="AM112" s="285"/>
      <c r="AN112" s="285"/>
      <c r="AO112" s="285"/>
      <c r="AP112" s="285"/>
      <c r="AQ112" s="283"/>
      <c r="AR112" s="285"/>
      <c r="AS112" s="285"/>
      <c r="AT112" s="285"/>
      <c r="AU112" s="285"/>
      <c r="AV112" s="285"/>
      <c r="AW112" s="285"/>
      <c r="AX112" s="285"/>
      <c r="AY112" s="285"/>
      <c r="AZ112" s="285"/>
      <c r="BA112" s="285"/>
      <c r="BB112" s="285"/>
      <c r="BC112" s="90"/>
      <c r="BD112" s="75"/>
      <c r="BE112" s="75"/>
      <c r="BF112" s="75"/>
      <c r="BG112" s="75"/>
      <c r="BH112" s="75"/>
    </row>
    <row r="113" spans="2:60" ht="13.5" customHeight="1" thickTop="1" thickBot="1" x14ac:dyDescent="0.25">
      <c r="B113" s="26"/>
      <c r="C113" s="43" t="s">
        <v>141</v>
      </c>
      <c r="D113" s="43"/>
      <c r="E113" s="81"/>
      <c r="F113" s="601"/>
      <c r="G113" s="592"/>
      <c r="H113" s="311">
        <f>H105+H109</f>
        <v>896.53773526500004</v>
      </c>
      <c r="I113" s="311">
        <f t="shared" ref="I113:R113" si="358">I105+I109</f>
        <v>914.75883726500012</v>
      </c>
      <c r="J113" s="311">
        <f t="shared" si="358"/>
        <v>968.60437203560014</v>
      </c>
      <c r="K113" s="311">
        <f t="shared" si="358"/>
        <v>1027.4038097881999</v>
      </c>
      <c r="L113" s="311">
        <f t="shared" si="358"/>
        <v>1067.7480929103999</v>
      </c>
      <c r="M113" s="311">
        <f t="shared" si="358"/>
        <v>1066.7877159939999</v>
      </c>
      <c r="N113" s="311">
        <f t="shared" si="358"/>
        <v>0</v>
      </c>
      <c r="O113" s="311">
        <f t="shared" si="358"/>
        <v>0</v>
      </c>
      <c r="P113" s="311">
        <f t="shared" si="358"/>
        <v>0</v>
      </c>
      <c r="Q113" s="311">
        <f t="shared" si="358"/>
        <v>0</v>
      </c>
      <c r="R113" s="311">
        <f t="shared" si="358"/>
        <v>5047.4925054659698</v>
      </c>
      <c r="S113" s="283"/>
      <c r="T113" s="311">
        <f>T105+T109</f>
        <v>1780.8238025339999</v>
      </c>
      <c r="U113" s="311">
        <f t="shared" ref="U113:AD113" si="359">U105+U109</f>
        <v>1840.5902280752</v>
      </c>
      <c r="V113" s="311">
        <f t="shared" si="359"/>
        <v>1923.1820980752</v>
      </c>
      <c r="W113" s="311">
        <f t="shared" si="359"/>
        <v>2038.9828372389998</v>
      </c>
      <c r="X113" s="311">
        <f t="shared" si="359"/>
        <v>2117.6654019178</v>
      </c>
      <c r="Y113" s="311">
        <f t="shared" si="359"/>
        <v>1585.2163389999996</v>
      </c>
      <c r="Z113" s="311">
        <f t="shared" si="359"/>
        <v>0</v>
      </c>
      <c r="AA113" s="311">
        <f t="shared" si="359"/>
        <v>0</v>
      </c>
      <c r="AB113" s="311">
        <f t="shared" si="359"/>
        <v>0</v>
      </c>
      <c r="AC113" s="311">
        <f t="shared" si="359"/>
        <v>0</v>
      </c>
      <c r="AD113" s="311">
        <f t="shared" si="359"/>
        <v>9957.4848171590074</v>
      </c>
      <c r="AE113" s="283"/>
      <c r="AF113" s="311">
        <f>AF105+AF109</f>
        <v>10758.45282318</v>
      </c>
      <c r="AG113" s="311">
        <f t="shared" ref="AG113:AP113" si="360">AG105+AG109</f>
        <v>10977.106047179999</v>
      </c>
      <c r="AH113" s="311">
        <f t="shared" si="360"/>
        <v>11623.2524644272</v>
      </c>
      <c r="AI113" s="311">
        <f t="shared" si="360"/>
        <v>12328.845717458398</v>
      </c>
      <c r="AJ113" s="311">
        <f t="shared" si="360"/>
        <v>12812.977114924799</v>
      </c>
      <c r="AK113" s="311">
        <f t="shared" si="360"/>
        <v>12801.452591927999</v>
      </c>
      <c r="AL113" s="311">
        <f t="shared" si="360"/>
        <v>0</v>
      </c>
      <c r="AM113" s="311">
        <f t="shared" si="360"/>
        <v>0</v>
      </c>
      <c r="AN113" s="311">
        <f t="shared" si="360"/>
        <v>0</v>
      </c>
      <c r="AO113" s="311">
        <f t="shared" si="360"/>
        <v>0</v>
      </c>
      <c r="AP113" s="311">
        <f t="shared" si="360"/>
        <v>60569.910065591626</v>
      </c>
      <c r="AQ113" s="283"/>
      <c r="AR113" s="311">
        <f>AR105+AR109</f>
        <v>21369.885630408</v>
      </c>
      <c r="AS113" s="311">
        <f t="shared" ref="AS113:BB113" si="361">AS105+AS109</f>
        <v>22087.082736902401</v>
      </c>
      <c r="AT113" s="311">
        <f t="shared" si="361"/>
        <v>23078.1851769024</v>
      </c>
      <c r="AU113" s="311">
        <f t="shared" si="361"/>
        <v>24467.794046868003</v>
      </c>
      <c r="AV113" s="311">
        <f t="shared" si="361"/>
        <v>25411.984823013598</v>
      </c>
      <c r="AW113" s="311">
        <f t="shared" si="361"/>
        <v>19022.596067999995</v>
      </c>
      <c r="AX113" s="311">
        <f t="shared" si="361"/>
        <v>0</v>
      </c>
      <c r="AY113" s="311">
        <f t="shared" si="361"/>
        <v>0</v>
      </c>
      <c r="AZ113" s="311">
        <f t="shared" si="361"/>
        <v>0</v>
      </c>
      <c r="BA113" s="311">
        <f t="shared" si="361"/>
        <v>0</v>
      </c>
      <c r="BB113" s="311">
        <f t="shared" si="361"/>
        <v>119489.8178059081</v>
      </c>
      <c r="BC113" s="90"/>
      <c r="BD113" s="75"/>
      <c r="BE113" s="75"/>
      <c r="BF113" s="75"/>
      <c r="BG113" s="75"/>
      <c r="BH113" s="75"/>
    </row>
    <row r="114" spans="2:60" ht="13.5" customHeight="1" thickTop="1" x14ac:dyDescent="0.2">
      <c r="B114" s="26"/>
      <c r="C114" s="43"/>
      <c r="D114" s="43"/>
      <c r="E114" s="81"/>
      <c r="F114" s="601"/>
      <c r="G114" s="592"/>
      <c r="H114" s="285"/>
      <c r="I114" s="285"/>
      <c r="J114" s="285"/>
      <c r="K114" s="285"/>
      <c r="L114" s="285"/>
      <c r="M114" s="285"/>
      <c r="N114" s="285"/>
      <c r="O114" s="285"/>
      <c r="P114" s="285"/>
      <c r="Q114" s="285"/>
      <c r="R114" s="285"/>
      <c r="S114" s="283"/>
      <c r="T114" s="285"/>
      <c r="U114" s="285"/>
      <c r="V114" s="285"/>
      <c r="W114" s="285"/>
      <c r="X114" s="285"/>
      <c r="Y114" s="285"/>
      <c r="Z114" s="285"/>
      <c r="AA114" s="285"/>
      <c r="AB114" s="285"/>
      <c r="AC114" s="285"/>
      <c r="AD114" s="285"/>
      <c r="AE114" s="283"/>
      <c r="AF114" s="285"/>
      <c r="AG114" s="285"/>
      <c r="AH114" s="285"/>
      <c r="AI114" s="285"/>
      <c r="AJ114" s="285"/>
      <c r="AK114" s="285"/>
      <c r="AL114" s="285"/>
      <c r="AM114" s="285"/>
      <c r="AN114" s="285"/>
      <c r="AO114" s="285"/>
      <c r="AP114" s="285"/>
      <c r="AQ114" s="283"/>
      <c r="AR114" s="285"/>
      <c r="AS114" s="285"/>
      <c r="AT114" s="285"/>
      <c r="AU114" s="285"/>
      <c r="AV114" s="285"/>
      <c r="AW114" s="285"/>
      <c r="AX114" s="285"/>
      <c r="AY114" s="285"/>
      <c r="AZ114" s="285"/>
      <c r="BA114" s="285"/>
      <c r="BB114" s="285"/>
      <c r="BC114" s="90"/>
      <c r="BD114" s="75"/>
      <c r="BE114" s="75"/>
      <c r="BF114" s="75"/>
      <c r="BG114" s="75"/>
      <c r="BH114" s="75"/>
    </row>
    <row r="115" spans="2:60" ht="13.5" customHeight="1" thickBot="1" x14ac:dyDescent="0.25">
      <c r="B115" s="26"/>
      <c r="C115" s="42" t="s">
        <v>389</v>
      </c>
      <c r="D115" s="42"/>
      <c r="F115" s="586"/>
      <c r="G115" s="587"/>
      <c r="H115" s="285"/>
      <c r="I115" s="285"/>
      <c r="J115" s="285"/>
      <c r="K115" s="285"/>
      <c r="L115" s="285"/>
      <c r="M115" s="285"/>
      <c r="N115" s="285"/>
      <c r="O115" s="285"/>
      <c r="P115" s="285"/>
      <c r="Q115" s="285"/>
      <c r="R115" s="285"/>
      <c r="S115" s="283"/>
      <c r="T115" s="285"/>
      <c r="U115" s="285"/>
      <c r="V115" s="285"/>
      <c r="W115" s="285"/>
      <c r="X115" s="285"/>
      <c r="Y115" s="285"/>
      <c r="Z115" s="285"/>
      <c r="AA115" s="285"/>
      <c r="AB115" s="285"/>
      <c r="AC115" s="285"/>
      <c r="AD115" s="285"/>
      <c r="AE115" s="283"/>
      <c r="AF115" s="285"/>
      <c r="AG115" s="285"/>
      <c r="AH115" s="285"/>
      <c r="AI115" s="285"/>
      <c r="AJ115" s="285"/>
      <c r="AK115" s="285"/>
      <c r="AL115" s="285"/>
      <c r="AM115" s="285"/>
      <c r="AN115" s="285"/>
      <c r="AO115" s="285"/>
      <c r="AP115" s="285"/>
      <c r="AQ115" s="283"/>
      <c r="AR115" s="285"/>
      <c r="AS115" s="285"/>
      <c r="AT115" s="285"/>
      <c r="AU115" s="285"/>
      <c r="AV115" s="285"/>
      <c r="AW115" s="285"/>
      <c r="AX115" s="285"/>
      <c r="AY115" s="285"/>
      <c r="AZ115" s="285"/>
      <c r="BA115" s="285"/>
      <c r="BB115" s="285"/>
      <c r="BC115" s="90"/>
      <c r="BD115" s="75"/>
      <c r="BE115" s="75"/>
      <c r="BF115" s="75"/>
      <c r="BG115" s="75"/>
      <c r="BH115" s="75"/>
    </row>
    <row r="116" spans="2:60" ht="13.5" customHeight="1" thickTop="1" thickBot="1" x14ac:dyDescent="0.25">
      <c r="B116" s="26"/>
      <c r="C116" s="28" t="s">
        <v>116</v>
      </c>
      <c r="D116" s="28"/>
      <c r="E116" s="79"/>
      <c r="F116" s="591"/>
      <c r="G116" s="598"/>
      <c r="H116" s="311">
        <f t="shared" ref="H116:Q116" si="362">H94+H113</f>
        <v>3533.7377352650001</v>
      </c>
      <c r="I116" s="311">
        <f t="shared" si="362"/>
        <v>3681.6688372650001</v>
      </c>
      <c r="J116" s="311">
        <f t="shared" si="362"/>
        <v>3879.1843720356001</v>
      </c>
      <c r="K116" s="311">
        <f t="shared" si="362"/>
        <v>4096.7738097881993</v>
      </c>
      <c r="L116" s="311">
        <f t="shared" si="362"/>
        <v>4137.1180929103994</v>
      </c>
      <c r="M116" s="311">
        <f t="shared" si="362"/>
        <v>4136.1577159939998</v>
      </c>
      <c r="N116" s="311">
        <f t="shared" si="362"/>
        <v>0</v>
      </c>
      <c r="O116" s="311">
        <f t="shared" si="362"/>
        <v>0</v>
      </c>
      <c r="P116" s="311">
        <f t="shared" si="362"/>
        <v>0</v>
      </c>
      <c r="Q116" s="311">
        <f t="shared" si="362"/>
        <v>0</v>
      </c>
      <c r="R116" s="311">
        <f t="shared" ref="R116" si="363">H116*H$27+I116*I$27+J116*J$27+K116*K$27+L116*L$27+M116*M$27+N116*N$27+O116*O$27+P116*P$27+Q116*Q$27</f>
        <v>19997.067245191993</v>
      </c>
      <c r="S116" s="283"/>
      <c r="T116" s="311">
        <f t="shared" ref="T116:AD116" si="364">T94+T113</f>
        <v>7055.2238025339993</v>
      </c>
      <c r="U116" s="311">
        <f t="shared" si="364"/>
        <v>7374.4102280751995</v>
      </c>
      <c r="V116" s="311">
        <f t="shared" si="364"/>
        <v>7744.3320980751996</v>
      </c>
      <c r="W116" s="311">
        <f t="shared" si="364"/>
        <v>8177.7128372389998</v>
      </c>
      <c r="X116" s="311">
        <f t="shared" si="364"/>
        <v>8256.3954019178</v>
      </c>
      <c r="Y116" s="311">
        <f t="shared" si="364"/>
        <v>7723.9463389999992</v>
      </c>
      <c r="Z116" s="311">
        <f t="shared" si="364"/>
        <v>0</v>
      </c>
      <c r="AA116" s="311">
        <f t="shared" si="364"/>
        <v>0</v>
      </c>
      <c r="AB116" s="311">
        <f t="shared" si="364"/>
        <v>0</v>
      </c>
      <c r="AC116" s="311">
        <f t="shared" si="364"/>
        <v>0</v>
      </c>
      <c r="AD116" s="311">
        <f t="shared" si="364"/>
        <v>39856.602680172706</v>
      </c>
      <c r="AE116" s="283"/>
      <c r="AF116" s="311">
        <f t="shared" ref="AF116:AP116" si="365">AF94+AF113</f>
        <v>42404.852823180001</v>
      </c>
      <c r="AG116" s="311">
        <f t="shared" si="365"/>
        <v>44180.026047179999</v>
      </c>
      <c r="AH116" s="311">
        <f t="shared" si="365"/>
        <v>46550.212464427197</v>
      </c>
      <c r="AI116" s="311">
        <f t="shared" si="365"/>
        <v>49161.285717458399</v>
      </c>
      <c r="AJ116" s="311">
        <f t="shared" si="365"/>
        <v>49645.4171149248</v>
      </c>
      <c r="AK116" s="311">
        <f t="shared" si="365"/>
        <v>49633.892591928001</v>
      </c>
      <c r="AL116" s="311">
        <f t="shared" si="365"/>
        <v>0</v>
      </c>
      <c r="AM116" s="311">
        <f t="shared" si="365"/>
        <v>0</v>
      </c>
      <c r="AN116" s="311">
        <f t="shared" si="365"/>
        <v>0</v>
      </c>
      <c r="AO116" s="311">
        <f t="shared" si="365"/>
        <v>0</v>
      </c>
      <c r="AP116" s="311">
        <f t="shared" si="365"/>
        <v>239964.80694230396</v>
      </c>
      <c r="AQ116" s="283"/>
      <c r="AR116" s="312">
        <f t="shared" ref="AR116:BB116" si="366">AR94+AR113</f>
        <v>84662.685630407999</v>
      </c>
      <c r="AS116" s="312">
        <f t="shared" si="366"/>
        <v>88492.922736902401</v>
      </c>
      <c r="AT116" s="312">
        <f t="shared" si="366"/>
        <v>92931.98517690241</v>
      </c>
      <c r="AU116" s="312">
        <f t="shared" si="366"/>
        <v>98132.554046867997</v>
      </c>
      <c r="AV116" s="312">
        <f t="shared" si="366"/>
        <v>99076.744823013592</v>
      </c>
      <c r="AW116" s="312">
        <f t="shared" si="366"/>
        <v>92687.356067999994</v>
      </c>
      <c r="AX116" s="312">
        <f t="shared" si="366"/>
        <v>0</v>
      </c>
      <c r="AY116" s="312">
        <f t="shared" si="366"/>
        <v>0</v>
      </c>
      <c r="AZ116" s="312">
        <f t="shared" si="366"/>
        <v>0</v>
      </c>
      <c r="BA116" s="312">
        <f t="shared" si="366"/>
        <v>0</v>
      </c>
      <c r="BB116" s="312">
        <f t="shared" si="366"/>
        <v>478279.2321620725</v>
      </c>
      <c r="BC116" s="90"/>
      <c r="BD116" s="75"/>
      <c r="BE116" s="75"/>
      <c r="BF116" s="75"/>
      <c r="BG116" s="75"/>
      <c r="BH116" s="75"/>
    </row>
    <row r="117" spans="2:60" ht="13.5" customHeight="1" thickTop="1" x14ac:dyDescent="0.2">
      <c r="B117" s="26"/>
      <c r="C117" s="26"/>
      <c r="D117" s="26"/>
      <c r="F117" s="586"/>
      <c r="G117" s="587"/>
      <c r="H117" s="287"/>
      <c r="I117" s="287"/>
      <c r="J117" s="287"/>
      <c r="K117" s="287"/>
      <c r="L117" s="287"/>
      <c r="M117" s="287"/>
      <c r="N117" s="287"/>
      <c r="O117" s="287"/>
      <c r="P117" s="287"/>
      <c r="Q117" s="287"/>
      <c r="R117" s="287"/>
      <c r="S117" s="287"/>
      <c r="T117" s="287"/>
      <c r="U117" s="287"/>
      <c r="V117" s="287"/>
      <c r="W117" s="287"/>
      <c r="X117" s="287"/>
      <c r="Y117" s="287"/>
      <c r="Z117" s="287"/>
      <c r="AA117" s="287"/>
      <c r="AB117" s="287"/>
      <c r="AC117" s="287"/>
      <c r="AD117" s="287"/>
      <c r="AE117" s="283"/>
      <c r="AF117" s="287"/>
      <c r="AG117" s="287"/>
      <c r="AH117" s="287"/>
      <c r="AI117" s="287"/>
      <c r="AJ117" s="287"/>
      <c r="AK117" s="287"/>
      <c r="AL117" s="287"/>
      <c r="AM117" s="287"/>
      <c r="AN117" s="287"/>
      <c r="AO117" s="287"/>
      <c r="AP117" s="287"/>
      <c r="AQ117" s="283"/>
      <c r="AR117" s="287"/>
      <c r="AS117" s="287"/>
      <c r="AT117" s="287"/>
      <c r="AU117" s="287"/>
      <c r="AV117" s="287"/>
      <c r="AW117" s="287"/>
      <c r="AX117" s="287"/>
      <c r="AY117" s="287"/>
      <c r="AZ117" s="287"/>
      <c r="BA117" s="287"/>
      <c r="BB117" s="287"/>
      <c r="BC117" s="90"/>
      <c r="BD117" s="75"/>
      <c r="BE117" s="75"/>
      <c r="BF117" s="75"/>
      <c r="BG117" s="75"/>
      <c r="BH117" s="75"/>
    </row>
    <row r="118" spans="2:60" ht="13.5" customHeight="1" thickBot="1" x14ac:dyDescent="0.25">
      <c r="B118" s="26"/>
      <c r="C118" s="42" t="s">
        <v>390</v>
      </c>
      <c r="D118" s="42"/>
      <c r="F118" s="586"/>
      <c r="G118" s="587"/>
      <c r="H118" s="287"/>
      <c r="I118" s="287"/>
      <c r="J118" s="287"/>
      <c r="K118" s="287"/>
      <c r="L118" s="287"/>
      <c r="M118" s="287"/>
      <c r="N118" s="287"/>
      <c r="O118" s="287"/>
      <c r="P118" s="287"/>
      <c r="Q118" s="287"/>
      <c r="R118" s="287"/>
      <c r="S118" s="287"/>
      <c r="T118" s="282"/>
      <c r="U118" s="282"/>
      <c r="V118" s="282"/>
      <c r="W118" s="282"/>
      <c r="X118" s="282"/>
      <c r="Y118" s="282"/>
      <c r="Z118" s="282"/>
      <c r="AA118" s="282"/>
      <c r="AB118" s="282"/>
      <c r="AC118" s="282"/>
      <c r="AD118" s="282"/>
      <c r="AE118" s="283"/>
      <c r="AF118" s="282"/>
      <c r="AG118" s="282"/>
      <c r="AH118" s="282"/>
      <c r="AI118" s="282"/>
      <c r="AJ118" s="282"/>
      <c r="AK118" s="282"/>
      <c r="AL118" s="282"/>
      <c r="AM118" s="282"/>
      <c r="AN118" s="282"/>
      <c r="AO118" s="282"/>
      <c r="AP118" s="282"/>
      <c r="AQ118" s="283"/>
      <c r="AR118" s="282"/>
      <c r="AS118" s="282"/>
      <c r="AT118" s="282"/>
      <c r="AU118" s="282"/>
      <c r="AV118" s="282"/>
      <c r="AW118" s="282"/>
      <c r="AX118" s="282"/>
      <c r="AY118" s="282"/>
      <c r="AZ118" s="282"/>
      <c r="BA118" s="282"/>
      <c r="BB118" s="282"/>
      <c r="BC118" s="90"/>
      <c r="BD118" s="75"/>
      <c r="BE118" s="75"/>
      <c r="BF118" s="75"/>
      <c r="BG118" s="75"/>
      <c r="BH118" s="75"/>
    </row>
    <row r="119" spans="2:60" ht="13.5" customHeight="1" thickTop="1" thickBot="1" x14ac:dyDescent="0.25">
      <c r="B119" s="26"/>
      <c r="C119" s="28" t="s">
        <v>142</v>
      </c>
      <c r="D119" s="28"/>
      <c r="F119" s="586"/>
      <c r="G119" s="587"/>
      <c r="H119" s="287"/>
      <c r="I119" s="287"/>
      <c r="J119" s="287"/>
      <c r="K119" s="287"/>
      <c r="L119" s="287"/>
      <c r="M119" s="287"/>
      <c r="N119" s="287"/>
      <c r="O119" s="287"/>
      <c r="P119" s="287"/>
      <c r="Q119" s="287"/>
      <c r="R119" s="287"/>
      <c r="S119" s="287"/>
      <c r="T119" s="311">
        <f>T116-H116</f>
        <v>3521.4860672689992</v>
      </c>
      <c r="U119" s="311">
        <f t="shared" ref="U119" si="367">U116-I116</f>
        <v>3692.7413908101994</v>
      </c>
      <c r="V119" s="311">
        <f t="shared" ref="V119" si="368">V116-J116</f>
        <v>3865.1477260395995</v>
      </c>
      <c r="W119" s="311">
        <f t="shared" ref="W119" si="369">W116-K116</f>
        <v>4080.9390274508005</v>
      </c>
      <c r="X119" s="311">
        <f t="shared" ref="X119" si="370">X116-L116</f>
        <v>4119.2773090074006</v>
      </c>
      <c r="Y119" s="311">
        <f t="shared" ref="Y119" si="371">Y116-M116</f>
        <v>3587.7886230059994</v>
      </c>
      <c r="Z119" s="311">
        <f t="shared" ref="Z119" si="372">Z116-N116</f>
        <v>0</v>
      </c>
      <c r="AA119" s="311">
        <f t="shared" ref="AA119" si="373">AA116-O116</f>
        <v>0</v>
      </c>
      <c r="AB119" s="311">
        <f t="shared" ref="AB119" si="374">AB116-P116</f>
        <v>0</v>
      </c>
      <c r="AC119" s="311">
        <f t="shared" ref="AC119" si="375">AC116-Q116</f>
        <v>0</v>
      </c>
      <c r="AD119" s="311">
        <f t="shared" ref="AD119" si="376">AD116-R116</f>
        <v>19859.535434980713</v>
      </c>
      <c r="AE119" s="283"/>
      <c r="AF119" s="287"/>
      <c r="AG119" s="287"/>
      <c r="AH119" s="287"/>
      <c r="AI119" s="287"/>
      <c r="AJ119" s="287"/>
      <c r="AK119" s="287"/>
      <c r="AL119" s="287"/>
      <c r="AM119" s="287"/>
      <c r="AN119" s="287"/>
      <c r="AO119" s="287"/>
      <c r="AP119" s="287"/>
      <c r="AQ119" s="283"/>
      <c r="AR119" s="313">
        <f>AR116-AF116</f>
        <v>42257.832807227998</v>
      </c>
      <c r="AS119" s="313">
        <f t="shared" ref="AS119" si="377">AS116-AG116</f>
        <v>44312.896689722402</v>
      </c>
      <c r="AT119" s="313">
        <f t="shared" ref="AT119" si="378">AT116-AH116</f>
        <v>46381.772712475213</v>
      </c>
      <c r="AU119" s="313">
        <f t="shared" ref="AU119" si="379">AU116-AI116</f>
        <v>48971.268329409599</v>
      </c>
      <c r="AV119" s="313">
        <f t="shared" ref="AV119" si="380">AV116-AJ116</f>
        <v>49431.327708088793</v>
      </c>
      <c r="AW119" s="313">
        <f t="shared" ref="AW119" si="381">AW116-AK116</f>
        <v>43053.463476071993</v>
      </c>
      <c r="AX119" s="313">
        <f t="shared" ref="AX119" si="382">AX116-AL116</f>
        <v>0</v>
      </c>
      <c r="AY119" s="313">
        <f t="shared" ref="AY119" si="383">AY116-AM116</f>
        <v>0</v>
      </c>
      <c r="AZ119" s="313">
        <f t="shared" ref="AZ119" si="384">AZ116-AN116</f>
        <v>0</v>
      </c>
      <c r="BA119" s="313">
        <f t="shared" ref="BA119" si="385">BA116-AO116</f>
        <v>0</v>
      </c>
      <c r="BB119" s="313">
        <f t="shared" ref="BB119" si="386">BB116-AP116</f>
        <v>238314.42521976854</v>
      </c>
      <c r="BC119" s="90"/>
      <c r="BD119" s="75"/>
      <c r="BE119" s="75"/>
      <c r="BF119" s="75"/>
      <c r="BG119" s="75"/>
      <c r="BH119" s="75"/>
    </row>
    <row r="120" spans="2:60" ht="13.5" customHeight="1" thickTop="1" x14ac:dyDescent="0.2">
      <c r="B120" s="26"/>
      <c r="C120" s="28"/>
      <c r="D120" s="28"/>
      <c r="F120" s="586"/>
      <c r="G120" s="587"/>
      <c r="H120" s="287"/>
      <c r="I120" s="287"/>
      <c r="J120" s="287"/>
      <c r="K120" s="287"/>
      <c r="L120" s="287"/>
      <c r="M120" s="287"/>
      <c r="N120" s="287"/>
      <c r="O120" s="287"/>
      <c r="P120" s="287"/>
      <c r="Q120" s="287"/>
      <c r="R120" s="287"/>
      <c r="S120" s="287"/>
      <c r="T120" s="314"/>
      <c r="U120" s="314"/>
      <c r="V120" s="314"/>
      <c r="W120" s="314"/>
      <c r="X120" s="314"/>
      <c r="Y120" s="314"/>
      <c r="Z120" s="314"/>
      <c r="AA120" s="314"/>
      <c r="AB120" s="314"/>
      <c r="AC120" s="314"/>
      <c r="AD120" s="314"/>
      <c r="AE120" s="283"/>
      <c r="AF120" s="287"/>
      <c r="AG120" s="287"/>
      <c r="AH120" s="287"/>
      <c r="AI120" s="287"/>
      <c r="AJ120" s="287"/>
      <c r="AK120" s="287"/>
      <c r="AL120" s="287"/>
      <c r="AM120" s="287"/>
      <c r="AN120" s="287"/>
      <c r="AO120" s="287"/>
      <c r="AP120" s="287"/>
      <c r="AQ120" s="283"/>
      <c r="AR120" s="315"/>
      <c r="AS120" s="315"/>
      <c r="AT120" s="315"/>
      <c r="AU120" s="315"/>
      <c r="AV120" s="315"/>
      <c r="AW120" s="315"/>
      <c r="AX120" s="315"/>
      <c r="AY120" s="315"/>
      <c r="AZ120" s="315"/>
      <c r="BA120" s="315"/>
      <c r="BB120" s="315"/>
      <c r="BC120" s="90"/>
      <c r="BD120" s="75"/>
      <c r="BE120" s="75"/>
      <c r="BF120" s="75"/>
      <c r="BG120" s="75"/>
      <c r="BH120" s="75"/>
    </row>
    <row r="121" spans="2:60" ht="13.5" customHeight="1" x14ac:dyDescent="0.2">
      <c r="C121" s="28"/>
      <c r="D121" s="28"/>
      <c r="F121" s="586"/>
      <c r="G121" s="587"/>
      <c r="H121" s="27"/>
      <c r="I121" s="27"/>
      <c r="J121" s="27"/>
      <c r="K121" s="27"/>
      <c r="L121" s="26"/>
      <c r="M121" s="26"/>
      <c r="N121" s="90"/>
      <c r="O121" s="90"/>
      <c r="P121" s="90"/>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26"/>
      <c r="AY121" s="26"/>
      <c r="AZ121" s="26"/>
      <c r="BA121" s="26"/>
      <c r="BB121" s="26"/>
    </row>
    <row r="122" spans="2:60" s="149" customFormat="1" ht="13.5" customHeight="1" x14ac:dyDescent="0.2">
      <c r="C122" s="471"/>
      <c r="D122" s="471"/>
      <c r="F122" s="602"/>
      <c r="G122" s="603"/>
      <c r="H122" s="472"/>
      <c r="I122" s="472"/>
      <c r="J122" s="472"/>
      <c r="K122" s="472"/>
      <c r="N122" s="473"/>
      <c r="O122" s="473"/>
      <c r="P122" s="473"/>
      <c r="Q122" s="473"/>
      <c r="R122" s="473"/>
      <c r="S122" s="473"/>
      <c r="T122" s="473"/>
      <c r="U122" s="473"/>
      <c r="V122" s="473"/>
      <c r="W122" s="473"/>
      <c r="X122" s="473"/>
      <c r="Y122" s="473"/>
      <c r="Z122" s="473"/>
      <c r="AA122" s="473"/>
      <c r="AB122" s="473"/>
      <c r="AC122" s="473"/>
      <c r="AD122" s="473"/>
      <c r="AE122" s="473"/>
      <c r="AF122" s="473"/>
      <c r="AG122" s="473"/>
      <c r="AH122" s="473"/>
      <c r="AI122" s="473"/>
      <c r="AJ122" s="473"/>
      <c r="AK122" s="473"/>
      <c r="AL122" s="473"/>
      <c r="AM122" s="473"/>
      <c r="AN122" s="473"/>
      <c r="AO122" s="473"/>
      <c r="AP122" s="473"/>
      <c r="AQ122" s="473"/>
      <c r="AR122" s="473"/>
      <c r="AS122" s="473"/>
      <c r="AT122" s="473"/>
      <c r="AU122" s="473"/>
      <c r="AV122" s="473"/>
      <c r="AW122" s="473"/>
    </row>
    <row r="123" spans="2:60" ht="13.5" customHeight="1" x14ac:dyDescent="0.3">
      <c r="C123" s="466" t="s">
        <v>396</v>
      </c>
    </row>
    <row r="124" spans="2:60" ht="13.5" customHeight="1" x14ac:dyDescent="0.3">
      <c r="C124" s="466"/>
    </row>
    <row r="125" spans="2:60" ht="13.5" customHeight="1" x14ac:dyDescent="0.25">
      <c r="C125" s="474" t="s">
        <v>331</v>
      </c>
    </row>
    <row r="126" spans="2:60" ht="114" customHeight="1" x14ac:dyDescent="0.3">
      <c r="C126" s="567" t="s">
        <v>333</v>
      </c>
      <c r="D126" s="529"/>
      <c r="E126" s="529"/>
      <c r="F126" s="529"/>
      <c r="G126" s="529"/>
      <c r="H126" s="529"/>
      <c r="I126" s="529"/>
      <c r="J126" s="529"/>
      <c r="K126" s="529"/>
    </row>
    <row r="127" spans="2:60" ht="13.5" customHeight="1" x14ac:dyDescent="0.3">
      <c r="C127" s="466"/>
    </row>
    <row r="128" spans="2:60" x14ac:dyDescent="0.2">
      <c r="C128" s="438" t="s">
        <v>397</v>
      </c>
    </row>
    <row r="129" spans="3:3" ht="18.75" x14ac:dyDescent="0.2">
      <c r="C129" s="573" t="s">
        <v>398</v>
      </c>
    </row>
  </sheetData>
  <sheetProtection algorithmName="SHA-512" hashValue="7sET24GMArGiMaFyDXOSKn1KAXYMXzxUyLyAFVdMlXhJ/k5ag7ZKAvmljDG8ksE3pN/5nv8Q8xczvZQ/eOy26w==" saltValue="l0ry0GMscjIzB7r55E7LSg==" spinCount="100000" sheet="1" formatRows="0" sort="0" autoFilter="0"/>
  <dataConsolidate/>
  <mergeCells count="4">
    <mergeCell ref="D8:E8"/>
    <mergeCell ref="D69:E69"/>
    <mergeCell ref="D70:E70"/>
    <mergeCell ref="C126:K126"/>
  </mergeCells>
  <dataValidations count="1">
    <dataValidation type="list" allowBlank="1" showInputMessage="1" showErrorMessage="1" sqref="S23 AE23 R81:S81 AE81">
      <formula1>#REF!</formula1>
    </dataValidation>
  </dataValidations>
  <pageMargins left="0.7" right="0.7" top="0.75" bottom="0.75" header="0.3" footer="0.3"/>
  <pageSetup paperSize="9" scale="43"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6"/>
  <dimension ref="B8:AT75"/>
  <sheetViews>
    <sheetView topLeftCell="A43" zoomScale="70" zoomScaleNormal="70" workbookViewId="0">
      <pane xSplit="3" topLeftCell="Q1" activePane="topRight" state="frozen"/>
      <selection pane="topRight" activeCell="Z65" sqref="Z65"/>
    </sheetView>
  </sheetViews>
  <sheetFormatPr defaultColWidth="9.140625" defaultRowHeight="15" x14ac:dyDescent="0.25"/>
  <cols>
    <col min="1" max="1" width="4" style="36" customWidth="1"/>
    <col min="2" max="2" width="2.42578125" style="36" customWidth="1"/>
    <col min="3" max="3" width="51.5703125" style="36" customWidth="1"/>
    <col min="4" max="13" width="13.7109375" style="36" customWidth="1"/>
    <col min="14" max="14" width="3.5703125" style="36" customWidth="1"/>
    <col min="15" max="24" width="13.7109375" style="36" customWidth="1"/>
    <col min="25" max="25" width="3" style="36" customWidth="1"/>
    <col min="26" max="35" width="13.7109375" style="36" customWidth="1"/>
    <col min="36" max="36" width="5.140625" style="36" customWidth="1"/>
    <col min="37" max="46" width="13.7109375" style="36" customWidth="1"/>
    <col min="47" max="16384" width="9.140625" style="36"/>
  </cols>
  <sheetData>
    <row r="8" spans="2:46" ht="23.25" x14ac:dyDescent="0.25">
      <c r="B8" s="342" t="s">
        <v>156</v>
      </c>
      <c r="D8" s="330"/>
      <c r="E8" s="330"/>
      <c r="F8" s="331"/>
      <c r="G8" s="331"/>
      <c r="H8" s="331"/>
    </row>
    <row r="9" spans="2:46" ht="23.25" x14ac:dyDescent="0.25">
      <c r="B9" s="343" t="e">
        <f>+#REF! &amp;" " &amp;#REF!</f>
        <v>#REF!</v>
      </c>
      <c r="L9" s="332"/>
      <c r="M9" s="333"/>
      <c r="N9" s="333"/>
    </row>
    <row r="10" spans="2:46" x14ac:dyDescent="0.25">
      <c r="B10" s="95"/>
      <c r="C10" s="95"/>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row>
    <row r="11" spans="2:46" ht="23.25" x14ac:dyDescent="0.25">
      <c r="B11" s="95"/>
      <c r="C11" s="95"/>
      <c r="D11" s="350" t="s">
        <v>113</v>
      </c>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row>
    <row r="12" spans="2:46" ht="15.75" thickBot="1" x14ac:dyDescent="0.3">
      <c r="B12" s="95"/>
      <c r="C12" s="335" t="s">
        <v>46</v>
      </c>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row>
    <row r="13" spans="2:46" ht="16.5" thickTop="1" thickBot="1" x14ac:dyDescent="0.3">
      <c r="B13" s="95"/>
      <c r="C13" s="95"/>
      <c r="D13" s="292" t="s">
        <v>108</v>
      </c>
      <c r="E13" s="292"/>
      <c r="F13" s="292"/>
      <c r="G13" s="292"/>
      <c r="H13" s="292"/>
      <c r="I13" s="292"/>
      <c r="J13" s="292"/>
      <c r="K13" s="292"/>
      <c r="L13" s="292"/>
      <c r="M13" s="292"/>
      <c r="N13" s="334"/>
      <c r="O13" s="292" t="s">
        <v>108</v>
      </c>
      <c r="P13" s="292"/>
      <c r="Q13" s="292"/>
      <c r="R13" s="292"/>
      <c r="S13" s="292"/>
      <c r="T13" s="292"/>
      <c r="U13" s="292"/>
      <c r="V13" s="292"/>
      <c r="W13" s="292"/>
      <c r="X13" s="292"/>
      <c r="Y13" s="334"/>
      <c r="Z13" s="292" t="s">
        <v>109</v>
      </c>
      <c r="AA13" s="292"/>
      <c r="AB13" s="292"/>
      <c r="AC13" s="292"/>
      <c r="AD13" s="292"/>
      <c r="AE13" s="292"/>
      <c r="AF13" s="292"/>
      <c r="AG13" s="292"/>
      <c r="AH13" s="292"/>
      <c r="AI13" s="292"/>
      <c r="AJ13" s="334"/>
      <c r="AK13" s="292" t="s">
        <v>109</v>
      </c>
      <c r="AL13" s="292"/>
      <c r="AM13" s="292"/>
      <c r="AN13" s="292"/>
      <c r="AO13" s="292"/>
      <c r="AP13" s="292"/>
      <c r="AQ13" s="292"/>
      <c r="AR13" s="292"/>
      <c r="AS13" s="292"/>
      <c r="AT13" s="292"/>
    </row>
    <row r="14" spans="2:46" ht="16.5" thickTop="1" thickBot="1" x14ac:dyDescent="0.3">
      <c r="B14" s="41"/>
      <c r="C14" s="335"/>
      <c r="D14" s="293" t="s">
        <v>99</v>
      </c>
      <c r="E14" s="293"/>
      <c r="F14" s="293"/>
      <c r="G14" s="293"/>
      <c r="H14" s="293"/>
      <c r="I14" s="293"/>
      <c r="J14" s="293"/>
      <c r="K14" s="293"/>
      <c r="L14" s="293"/>
      <c r="M14" s="293"/>
      <c r="N14" s="334"/>
      <c r="O14" s="293" t="s">
        <v>100</v>
      </c>
      <c r="P14" s="293"/>
      <c r="Q14" s="293"/>
      <c r="R14" s="293"/>
      <c r="S14" s="293"/>
      <c r="T14" s="293"/>
      <c r="U14" s="293"/>
      <c r="V14" s="293"/>
      <c r="W14" s="293"/>
      <c r="X14" s="293"/>
      <c r="Y14" s="334"/>
      <c r="Z14" s="293" t="s">
        <v>99</v>
      </c>
      <c r="AA14" s="293"/>
      <c r="AB14" s="293"/>
      <c r="AC14" s="293"/>
      <c r="AD14" s="293"/>
      <c r="AE14" s="293"/>
      <c r="AF14" s="293"/>
      <c r="AG14" s="293"/>
      <c r="AH14" s="293"/>
      <c r="AI14" s="293"/>
      <c r="AJ14" s="334"/>
      <c r="AK14" s="293" t="s">
        <v>100</v>
      </c>
      <c r="AL14" s="293"/>
      <c r="AM14" s="293"/>
      <c r="AN14" s="293"/>
      <c r="AO14" s="293"/>
      <c r="AP14" s="293"/>
      <c r="AQ14" s="293"/>
      <c r="AR14" s="293"/>
      <c r="AS14" s="293"/>
      <c r="AT14" s="293"/>
    </row>
    <row r="15" spans="2:46" ht="16.5" thickTop="1" thickBot="1" x14ac:dyDescent="0.3">
      <c r="B15" s="41"/>
      <c r="C15" s="335"/>
      <c r="D15" s="293">
        <f>'Loonkosten uitgebreid'!H21</f>
        <v>2025</v>
      </c>
      <c r="E15" s="293">
        <f>'Loonkosten uitgebreid'!I21</f>
        <v>2026</v>
      </c>
      <c r="F15" s="293">
        <f>'Loonkosten uitgebreid'!J21</f>
        <v>2027</v>
      </c>
      <c r="G15" s="293">
        <f>'Loonkosten uitgebreid'!K21</f>
        <v>2028</v>
      </c>
      <c r="H15" s="293">
        <f>'Loonkosten uitgebreid'!L21</f>
        <v>2029</v>
      </c>
      <c r="I15" s="293">
        <f>'Loonkosten uitgebreid'!M21</f>
        <v>2030</v>
      </c>
      <c r="J15" s="293" t="str">
        <f>'Loonkosten uitgebreid'!N21</f>
        <v>[leeg]</v>
      </c>
      <c r="K15" s="293" t="str">
        <f>'Loonkosten uitgebreid'!O21</f>
        <v>[leeg]</v>
      </c>
      <c r="L15" s="293" t="str">
        <f>'Loonkosten uitgebreid'!P21</f>
        <v>[leeg]</v>
      </c>
      <c r="M15" s="293" t="str">
        <f>'Loonkosten uitgebreid'!Q21</f>
        <v>[leeg]</v>
      </c>
      <c r="N15" s="334"/>
      <c r="O15" s="293">
        <f t="shared" ref="O15:X15" si="0">D15</f>
        <v>2025</v>
      </c>
      <c r="P15" s="293">
        <f t="shared" si="0"/>
        <v>2026</v>
      </c>
      <c r="Q15" s="293">
        <f t="shared" si="0"/>
        <v>2027</v>
      </c>
      <c r="R15" s="293">
        <f t="shared" si="0"/>
        <v>2028</v>
      </c>
      <c r="S15" s="293">
        <f t="shared" si="0"/>
        <v>2029</v>
      </c>
      <c r="T15" s="293">
        <f t="shared" si="0"/>
        <v>2030</v>
      </c>
      <c r="U15" s="293" t="str">
        <f t="shared" si="0"/>
        <v>[leeg]</v>
      </c>
      <c r="V15" s="293" t="str">
        <f t="shared" si="0"/>
        <v>[leeg]</v>
      </c>
      <c r="W15" s="293" t="str">
        <f t="shared" si="0"/>
        <v>[leeg]</v>
      </c>
      <c r="X15" s="293" t="str">
        <f t="shared" si="0"/>
        <v>[leeg]</v>
      </c>
      <c r="Y15" s="334"/>
      <c r="Z15" s="293">
        <f t="shared" ref="Z15:AI15" si="1">O15</f>
        <v>2025</v>
      </c>
      <c r="AA15" s="293">
        <f t="shared" si="1"/>
        <v>2026</v>
      </c>
      <c r="AB15" s="293">
        <f t="shared" si="1"/>
        <v>2027</v>
      </c>
      <c r="AC15" s="293">
        <f t="shared" si="1"/>
        <v>2028</v>
      </c>
      <c r="AD15" s="293">
        <f t="shared" si="1"/>
        <v>2029</v>
      </c>
      <c r="AE15" s="293">
        <f t="shared" si="1"/>
        <v>2030</v>
      </c>
      <c r="AF15" s="293" t="str">
        <f t="shared" si="1"/>
        <v>[leeg]</v>
      </c>
      <c r="AG15" s="293" t="str">
        <f t="shared" si="1"/>
        <v>[leeg]</v>
      </c>
      <c r="AH15" s="293" t="str">
        <f t="shared" si="1"/>
        <v>[leeg]</v>
      </c>
      <c r="AI15" s="293" t="str">
        <f t="shared" si="1"/>
        <v>[leeg]</v>
      </c>
      <c r="AJ15" s="334"/>
      <c r="AK15" s="293">
        <f t="shared" ref="AK15:AT15" si="2">Z15</f>
        <v>2025</v>
      </c>
      <c r="AL15" s="293">
        <f t="shared" si="2"/>
        <v>2026</v>
      </c>
      <c r="AM15" s="293">
        <f t="shared" si="2"/>
        <v>2027</v>
      </c>
      <c r="AN15" s="293">
        <f t="shared" si="2"/>
        <v>2028</v>
      </c>
      <c r="AO15" s="293">
        <f t="shared" si="2"/>
        <v>2029</v>
      </c>
      <c r="AP15" s="293">
        <f t="shared" si="2"/>
        <v>2030</v>
      </c>
      <c r="AQ15" s="293" t="str">
        <f t="shared" si="2"/>
        <v>[leeg]</v>
      </c>
      <c r="AR15" s="293" t="str">
        <f t="shared" si="2"/>
        <v>[leeg]</v>
      </c>
      <c r="AS15" s="293" t="str">
        <f t="shared" si="2"/>
        <v>[leeg]</v>
      </c>
      <c r="AT15" s="293" t="str">
        <f t="shared" si="2"/>
        <v>[leeg]</v>
      </c>
    </row>
    <row r="16" spans="2:46" ht="16.5" thickTop="1" thickBot="1" x14ac:dyDescent="0.3">
      <c r="B16" s="41"/>
      <c r="C16" s="41" t="s">
        <v>52</v>
      </c>
      <c r="D16" s="336"/>
      <c r="E16" s="336"/>
      <c r="F16" s="336"/>
      <c r="G16" s="336"/>
      <c r="H16" s="336"/>
      <c r="I16" s="336"/>
      <c r="J16" s="336"/>
      <c r="K16" s="336"/>
      <c r="L16" s="336"/>
      <c r="M16" s="336"/>
      <c r="N16" s="334"/>
      <c r="O16" s="336"/>
      <c r="P16" s="336"/>
      <c r="Q16" s="336"/>
      <c r="R16" s="336"/>
      <c r="S16" s="336"/>
      <c r="T16" s="336"/>
      <c r="U16" s="336"/>
      <c r="V16" s="336"/>
      <c r="W16" s="336"/>
      <c r="X16" s="336"/>
      <c r="Y16" s="334"/>
      <c r="Z16" s="336"/>
      <c r="AA16" s="336"/>
      <c r="AB16" s="336"/>
      <c r="AC16" s="336"/>
      <c r="AD16" s="336"/>
      <c r="AE16" s="336"/>
      <c r="AF16" s="336"/>
      <c r="AG16" s="336"/>
      <c r="AH16" s="336"/>
      <c r="AI16" s="336"/>
      <c r="AJ16" s="334"/>
      <c r="AK16" s="336"/>
      <c r="AL16" s="336"/>
      <c r="AM16" s="336"/>
      <c r="AN16" s="336"/>
      <c r="AO16" s="336"/>
      <c r="AP16" s="336"/>
      <c r="AQ16" s="336"/>
      <c r="AR16" s="336"/>
      <c r="AS16" s="336"/>
      <c r="AT16" s="336"/>
    </row>
    <row r="17" spans="2:46" ht="16.5" thickTop="1" thickBot="1" x14ac:dyDescent="0.3">
      <c r="B17" s="41"/>
      <c r="C17" s="335" t="s">
        <v>118</v>
      </c>
      <c r="D17" s="344">
        <f>IF(D$15&lt;"[leeg]",'Loonkosten uitgebreid'!H37,0)</f>
        <v>7509.8</v>
      </c>
      <c r="E17" s="344">
        <f>IF(E$15&lt;"[leeg]",'Loonkosten uitgebreid'!I37,0)</f>
        <v>7509.8</v>
      </c>
      <c r="F17" s="344">
        <f>IF(F$15&lt;"[leeg]",'Loonkosten uitgebreid'!J37,0)</f>
        <v>7509.8</v>
      </c>
      <c r="G17" s="344">
        <f>IF(G$15&lt;"[leeg]",'Loonkosten uitgebreid'!K37,0)</f>
        <v>7509.8</v>
      </c>
      <c r="H17" s="344">
        <f>IF(H$15&lt;"[leeg]",'Loonkosten uitgebreid'!L37,0)</f>
        <v>7509.8</v>
      </c>
      <c r="I17" s="344">
        <f>IF(I$15&lt;"[leeg]",'Loonkosten uitgebreid'!M37,0)</f>
        <v>7509.8</v>
      </c>
      <c r="J17" s="344">
        <f>IF(J$15&lt;"[leeg]",'Loonkosten uitgebreid'!N37,0)</f>
        <v>0</v>
      </c>
      <c r="K17" s="344">
        <f>IF(K$15&lt;"[leeg]",'Loonkosten uitgebreid'!O37,0)</f>
        <v>0</v>
      </c>
      <c r="L17" s="344">
        <f>IF(L$15&lt;"[leeg]",'Loonkosten uitgebreid'!P37,0)</f>
        <v>0</v>
      </c>
      <c r="M17" s="344">
        <f>IF(M$15&lt;"[leeg]",'Loonkosten uitgebreid'!Q37,0)</f>
        <v>0</v>
      </c>
      <c r="N17" s="334"/>
      <c r="O17" s="344">
        <f>IF(O$15&lt;&gt;"[leeg]",'Loonkosten uitgebreid'!T37,0)</f>
        <v>4795.2649999999994</v>
      </c>
      <c r="P17" s="344">
        <f>IF(P$15&lt;&gt;"[leeg]",'Loonkosten uitgebreid'!U37,0)</f>
        <v>4766.3649999999998</v>
      </c>
      <c r="Q17" s="344">
        <f>IF(Q$15&lt;&gt;"[leeg]",'Loonkosten uitgebreid'!V37,0)</f>
        <v>4766.3649999999998</v>
      </c>
      <c r="R17" s="344">
        <f>IF(R$15&lt;&gt;"[leeg]",'Loonkosten uitgebreid'!W37,0)</f>
        <v>4766.3649999999998</v>
      </c>
      <c r="S17" s="344">
        <f>IF(S$15&lt;&gt;"[leeg]",'Loonkosten uitgebreid'!X37,0)</f>
        <v>4766.3649999999998</v>
      </c>
      <c r="T17" s="344">
        <f>IF(T$15&lt;&gt;"[leeg]",'Loonkosten uitgebreid'!Y37,0)</f>
        <v>4766.3649999999998</v>
      </c>
      <c r="U17" s="344">
        <f>IF(U$15&lt;&gt;"[leeg]",'Loonkosten uitgebreid'!Z37,0)</f>
        <v>0</v>
      </c>
      <c r="V17" s="344">
        <f>IF(V$15&lt;&gt;"[leeg]",'Loonkosten uitgebreid'!AA37,0)</f>
        <v>0</v>
      </c>
      <c r="W17" s="344">
        <f>IF(W$15&lt;&gt;"[leeg]",'Loonkosten uitgebreid'!AB37,0)</f>
        <v>0</v>
      </c>
      <c r="X17" s="344">
        <f>IF(X$15&lt;&gt;"[leeg]",'Loonkosten uitgebreid'!AC37,0)</f>
        <v>0</v>
      </c>
      <c r="Y17" s="334"/>
      <c r="Z17" s="344">
        <f>IF(Z15&lt;&gt;"[leeg]",'Loonkosten uitgebreid'!AF37,0)</f>
        <v>90117.6</v>
      </c>
      <c r="AA17" s="344">
        <f>IF(AA15&lt;&gt;"[leeg]",'Loonkosten uitgebreid'!AG37,0)</f>
        <v>90117.6</v>
      </c>
      <c r="AB17" s="344">
        <f>IF(AB15&lt;&gt;"[leeg]",'Loonkosten uitgebreid'!AH37,0)</f>
        <v>90117.6</v>
      </c>
      <c r="AC17" s="344">
        <f>IF(AC15&lt;&gt;"[leeg]",'Loonkosten uitgebreid'!AI37,0)</f>
        <v>90117.6</v>
      </c>
      <c r="AD17" s="344">
        <f>IF(AD15&lt;&gt;"[leeg]",'Loonkosten uitgebreid'!AJ37,0)</f>
        <v>90117.6</v>
      </c>
      <c r="AE17" s="344">
        <f>IF(AE15&lt;&gt;"[leeg]",'Loonkosten uitgebreid'!AK37,0)</f>
        <v>90117.6</v>
      </c>
      <c r="AF17" s="344">
        <f>IF(AF15&lt;&gt;"[leeg]",'Loonkosten uitgebreid'!AL37,0)</f>
        <v>0</v>
      </c>
      <c r="AG17" s="344">
        <f>IF(AG15&lt;&gt;"[leeg]",'Loonkosten uitgebreid'!AM37,0)</f>
        <v>0</v>
      </c>
      <c r="AH17" s="344">
        <f>IF(AH15&lt;&gt;"[leeg]",'Loonkosten uitgebreid'!AN37,0)</f>
        <v>0</v>
      </c>
      <c r="AI17" s="344">
        <f>IF(AI15&lt;&gt;"[leeg]",'Loonkosten uitgebreid'!AO37,0)</f>
        <v>0</v>
      </c>
      <c r="AJ17" s="334"/>
      <c r="AK17" s="346">
        <f>IF(AK15&lt;&gt;"[leeg]",'Loonkosten uitgebreid'!AR37,0)</f>
        <v>57543.18</v>
      </c>
      <c r="AL17" s="346">
        <f>IF(AL15&lt;&gt;"[leeg]",'Loonkosten uitgebreid'!AS37,0)</f>
        <v>57196.38</v>
      </c>
      <c r="AM17" s="346">
        <f>IF(AM15&lt;&gt;"[leeg]",'Loonkosten uitgebreid'!AT37,0)</f>
        <v>57196.38</v>
      </c>
      <c r="AN17" s="346">
        <f>IF(AN15&lt;&gt;"[leeg]",'Loonkosten uitgebreid'!AU37,0)</f>
        <v>57196.38</v>
      </c>
      <c r="AO17" s="346">
        <f>IF(AO15&lt;&gt;"[leeg]",'Loonkosten uitgebreid'!AV37,0)</f>
        <v>57196.38</v>
      </c>
      <c r="AP17" s="346">
        <f>IF(AP15&lt;&gt;"[leeg]",'Loonkosten uitgebreid'!AW37,0)</f>
        <v>57196.38</v>
      </c>
      <c r="AQ17" s="346">
        <f>IF(AQ15&lt;&gt;"[leeg]",'Loonkosten uitgebreid'!AX37,0)</f>
        <v>0</v>
      </c>
      <c r="AR17" s="346">
        <f>IF(AR15&lt;&gt;"[leeg]",'Loonkosten uitgebreid'!AY37,0)</f>
        <v>0</v>
      </c>
      <c r="AS17" s="346">
        <f>IF(AS15&lt;&gt;"[leeg]",'Loonkosten uitgebreid'!AZ37,0)</f>
        <v>0</v>
      </c>
      <c r="AT17" s="346">
        <f>IF(AT15&lt;&gt;"[leeg]",'Loonkosten uitgebreid'!BA37,0)</f>
        <v>0</v>
      </c>
    </row>
    <row r="18" spans="2:46" ht="16.5" thickTop="1" thickBot="1" x14ac:dyDescent="0.3">
      <c r="B18" s="41"/>
      <c r="C18" s="41" t="s">
        <v>15</v>
      </c>
      <c r="D18" s="344">
        <f>IF(D15&lt;&gt;"[leeg]",'Loonkosten uitgebreid'!H38,0)</f>
        <v>7509.8</v>
      </c>
      <c r="E18" s="344">
        <f>IF(E15&lt;&gt;"[leeg]",'Loonkosten uitgebreid'!I38,0)</f>
        <v>7509.8</v>
      </c>
      <c r="F18" s="344">
        <f>IF(F15&lt;&gt;"[leeg]",'Loonkosten uitgebreid'!J38,0)</f>
        <v>7509.8</v>
      </c>
      <c r="G18" s="344">
        <f>IF(G15&lt;&gt;"[leeg]",'Loonkosten uitgebreid'!K38,0)</f>
        <v>7509.8</v>
      </c>
      <c r="H18" s="344">
        <f>IF(H15&lt;&gt;"[leeg]",'Loonkosten uitgebreid'!L38,0)</f>
        <v>7509.8</v>
      </c>
      <c r="I18" s="344">
        <f>IF(I15&lt;&gt;"[leeg]",'Loonkosten uitgebreid'!M38,0)</f>
        <v>7509.8</v>
      </c>
      <c r="J18" s="344">
        <f>IF(J15&lt;&gt;"[leeg]",'Loonkosten uitgebreid'!N38,0)</f>
        <v>0</v>
      </c>
      <c r="K18" s="344">
        <f>IF(K15&lt;&gt;"[leeg]",'Loonkosten uitgebreid'!O38,0)</f>
        <v>0</v>
      </c>
      <c r="L18" s="344">
        <f>IF(L15&lt;&gt;"[leeg]",'Loonkosten uitgebreid'!P38,0)</f>
        <v>0</v>
      </c>
      <c r="M18" s="344">
        <f>IF(M15&lt;&gt;"[leeg]",'Loonkosten uitgebreid'!Q38,0)</f>
        <v>0</v>
      </c>
      <c r="N18" s="334"/>
      <c r="O18" s="344">
        <f>IF(O$15&lt;&gt;"[leeg]",'Loonkosten uitgebreid'!T38,0)</f>
        <v>4795.2650000000003</v>
      </c>
      <c r="P18" s="344">
        <f>IF(P$15&lt;&gt;"[leeg]",'Loonkosten uitgebreid'!U38,0)</f>
        <v>4766.3649999999998</v>
      </c>
      <c r="Q18" s="344">
        <f>IF(Q$15&lt;&gt;"[leeg]",'Loonkosten uitgebreid'!V38,0)</f>
        <v>4766.3649999999998</v>
      </c>
      <c r="R18" s="344">
        <f>IF(R$15&lt;&gt;"[leeg]",'Loonkosten uitgebreid'!W38,0)</f>
        <v>4766.3649999999998</v>
      </c>
      <c r="S18" s="344">
        <f>IF(S$15&lt;&gt;"[leeg]",'Loonkosten uitgebreid'!X38,0)</f>
        <v>4766.3649999999998</v>
      </c>
      <c r="T18" s="344">
        <f>IF(T$15&lt;&gt;"[leeg]",'Loonkosten uitgebreid'!Y38,0)</f>
        <v>4766.3649999999998</v>
      </c>
      <c r="U18" s="344">
        <f>IF(U$15&lt;&gt;"[leeg]",'Loonkosten uitgebreid'!Z38,0)</f>
        <v>0</v>
      </c>
      <c r="V18" s="344">
        <f>IF(V$15&lt;&gt;"[leeg]",'Loonkosten uitgebreid'!AA38,0)</f>
        <v>0</v>
      </c>
      <c r="W18" s="344">
        <f>IF(W$15&lt;&gt;"[leeg]",'Loonkosten uitgebreid'!AB38,0)</f>
        <v>0</v>
      </c>
      <c r="X18" s="344">
        <f>IF(X$15&lt;&gt;"[leeg]",'Loonkosten uitgebreid'!AC38,0)</f>
        <v>0</v>
      </c>
      <c r="Y18" s="334"/>
      <c r="Z18" s="344">
        <f>IF(Z15&lt;&gt;"[leeg]",'Loonkosten uitgebreid'!AF38,0)</f>
        <v>90117.6</v>
      </c>
      <c r="AA18" s="344">
        <f>IF(AA15&lt;&gt;"[leeg]",'Loonkosten uitgebreid'!AG38,0)</f>
        <v>90117.6</v>
      </c>
      <c r="AB18" s="344">
        <f>IF(AB15&lt;&gt;"[leeg]",'Loonkosten uitgebreid'!AH38,0)</f>
        <v>90117.6</v>
      </c>
      <c r="AC18" s="344">
        <f>IF(AC15&lt;&gt;"[leeg]",'Loonkosten uitgebreid'!AI38,0)</f>
        <v>90117.6</v>
      </c>
      <c r="AD18" s="344">
        <f>IF(AD15&lt;&gt;"[leeg]",'Loonkosten uitgebreid'!AJ38,0)</f>
        <v>90117.6</v>
      </c>
      <c r="AE18" s="344">
        <f>IF(AE15&lt;&gt;"[leeg]",'Loonkosten uitgebreid'!AK38,0)</f>
        <v>90117.6</v>
      </c>
      <c r="AF18" s="344">
        <f>IF(AF15&lt;&gt;"[leeg]",'Loonkosten uitgebreid'!AL38,0)</f>
        <v>0</v>
      </c>
      <c r="AG18" s="344">
        <f>IF(AG15&lt;&gt;"[leeg]",'Loonkosten uitgebreid'!AM38,0)</f>
        <v>0</v>
      </c>
      <c r="AH18" s="344">
        <f>IF(AH15&lt;&gt;"[leeg]",'Loonkosten uitgebreid'!AN38,0)</f>
        <v>0</v>
      </c>
      <c r="AI18" s="344">
        <f>IF(AI15&lt;&gt;"[leeg]",'Loonkosten uitgebreid'!AO38,0)</f>
        <v>0</v>
      </c>
      <c r="AJ18" s="334"/>
      <c r="AK18" s="347">
        <f>IF(AK15&lt;&gt;"[leeg]",'Loonkosten uitgebreid'!AR38,0)</f>
        <v>57543.18</v>
      </c>
      <c r="AL18" s="347">
        <f>IF(AL15&lt;&gt;"[leeg]",'Loonkosten uitgebreid'!AS38,0)</f>
        <v>57196.38</v>
      </c>
      <c r="AM18" s="347">
        <f>IF(AM15&lt;&gt;"[leeg]",'Loonkosten uitgebreid'!AT38,0)</f>
        <v>57196.38</v>
      </c>
      <c r="AN18" s="347">
        <f>IF(AN15&lt;&gt;"[leeg]",'Loonkosten uitgebreid'!AU38,0)</f>
        <v>57196.38</v>
      </c>
      <c r="AO18" s="347">
        <f>IF(AO15&lt;&gt;"[leeg]",'Loonkosten uitgebreid'!AV38,0)</f>
        <v>57196.38</v>
      </c>
      <c r="AP18" s="347">
        <f>IF(AP15&lt;&gt;"[leeg]",'Loonkosten uitgebreid'!AW38,0)</f>
        <v>57196.38</v>
      </c>
      <c r="AQ18" s="347">
        <f>IF(AQ15&lt;&gt;"[leeg]",'Loonkosten uitgebreid'!AX38,0)</f>
        <v>0</v>
      </c>
      <c r="AR18" s="347">
        <f>IF(AR15&lt;&gt;"[leeg]",'Loonkosten uitgebreid'!AY38,0)</f>
        <v>0</v>
      </c>
      <c r="AS18" s="347">
        <f>IF(AS15&lt;&gt;"[leeg]",'Loonkosten uitgebreid'!AZ38,0)</f>
        <v>0</v>
      </c>
      <c r="AT18" s="347">
        <f>IF(AT15&lt;&gt;"[leeg]",'Loonkosten uitgebreid'!BA38,0)</f>
        <v>0</v>
      </c>
    </row>
    <row r="19" spans="2:46" ht="15.75" collapsed="1" thickTop="1" x14ac:dyDescent="0.25">
      <c r="B19" s="41"/>
      <c r="C19" s="41"/>
      <c r="D19" s="336"/>
      <c r="E19" s="336"/>
      <c r="F19" s="336"/>
      <c r="G19" s="336"/>
      <c r="H19" s="336"/>
      <c r="I19" s="336"/>
      <c r="J19" s="336"/>
      <c r="K19" s="336"/>
      <c r="L19" s="336"/>
      <c r="M19" s="336"/>
      <c r="N19" s="334"/>
      <c r="O19" s="336"/>
      <c r="P19" s="336"/>
      <c r="Q19" s="336"/>
      <c r="R19" s="336"/>
      <c r="S19" s="336"/>
      <c r="T19" s="336"/>
      <c r="U19" s="336"/>
      <c r="V19" s="336"/>
      <c r="W19" s="336"/>
      <c r="X19" s="336"/>
      <c r="Y19" s="334"/>
      <c r="Z19" s="336"/>
      <c r="AA19" s="336"/>
      <c r="AB19" s="336"/>
      <c r="AC19" s="336"/>
      <c r="AD19" s="336"/>
      <c r="AE19" s="336"/>
      <c r="AF19" s="336"/>
      <c r="AG19" s="336"/>
      <c r="AH19" s="336"/>
      <c r="AI19" s="336"/>
      <c r="AJ19" s="334"/>
      <c r="AK19" s="336"/>
      <c r="AL19" s="336"/>
      <c r="AM19" s="336"/>
      <c r="AN19" s="336"/>
      <c r="AO19" s="336"/>
      <c r="AP19" s="336"/>
      <c r="AQ19" s="336"/>
      <c r="AR19" s="336"/>
      <c r="AS19" s="336"/>
      <c r="AT19" s="336"/>
    </row>
    <row r="20" spans="2:46" ht="15.75" thickBot="1" x14ac:dyDescent="0.3">
      <c r="B20" s="41"/>
      <c r="C20" s="41" t="s">
        <v>119</v>
      </c>
      <c r="D20" s="336"/>
      <c r="E20" s="336"/>
      <c r="F20" s="336"/>
      <c r="G20" s="336"/>
      <c r="H20" s="336"/>
      <c r="I20" s="336"/>
      <c r="J20" s="336"/>
      <c r="K20" s="336"/>
      <c r="L20" s="336"/>
      <c r="M20" s="336"/>
      <c r="N20" s="334"/>
      <c r="O20" s="336"/>
      <c r="P20" s="336"/>
      <c r="Q20" s="336"/>
      <c r="R20" s="336"/>
      <c r="S20" s="336"/>
      <c r="T20" s="336"/>
      <c r="U20" s="336"/>
      <c r="V20" s="336"/>
      <c r="W20" s="336"/>
      <c r="X20" s="336"/>
      <c r="Y20" s="334"/>
      <c r="Z20" s="336"/>
      <c r="AA20" s="336"/>
      <c r="AB20" s="336"/>
      <c r="AC20" s="336"/>
      <c r="AD20" s="336"/>
      <c r="AE20" s="336"/>
      <c r="AF20" s="336"/>
      <c r="AG20" s="336"/>
      <c r="AH20" s="336"/>
      <c r="AI20" s="336"/>
      <c r="AJ20" s="334"/>
      <c r="AK20" s="336"/>
      <c r="AL20" s="336"/>
      <c r="AM20" s="336"/>
      <c r="AN20" s="336"/>
      <c r="AO20" s="336"/>
      <c r="AP20" s="336"/>
      <c r="AQ20" s="336"/>
      <c r="AR20" s="336"/>
      <c r="AS20" s="336"/>
      <c r="AT20" s="336"/>
    </row>
    <row r="21" spans="2:46" ht="16.5" thickTop="1" thickBot="1" x14ac:dyDescent="0.3">
      <c r="B21" s="41"/>
      <c r="C21" s="95" t="s">
        <v>9</v>
      </c>
      <c r="D21" s="344">
        <f>IF(D$15&lt;&gt;"[leeg]",IF('Loonkosten uitgebreid'!$AF$38/'Loonkosten uitgebreid'!$H$26&lt;'Tabellen PO-Raad'!$E8,0,(+'Loonkosten uitgebreid'!$AF$38-'Tabellen PO-Raad'!$E8*'Loonkosten uitgebreid'!H26)/12*'Tabellen PO-Raad'!$D8),0)</f>
        <v>483.41880000000009</v>
      </c>
      <c r="E21" s="344">
        <f>IF(E$15&lt;&gt;"[leeg]",IF('Loonkosten uitgebreid'!$AF$38/'Loonkosten uitgebreid'!$H$26&lt;'Tabellen PO-Raad'!$E8,0,(+'Loonkosten uitgebreid'!$AF$38-'Tabellen PO-Raad'!$E8*'Loonkosten uitgebreid'!I26)/12*'Tabellen PO-Raad'!$D8),0)</f>
        <v>483.41880000000009</v>
      </c>
      <c r="F21" s="344">
        <f>IF(F$15&lt;&gt;"[leeg]",IF('Loonkosten uitgebreid'!$AF$38/'Loonkosten uitgebreid'!$H$26&lt;'Tabellen PO-Raad'!$E8,0,(+'Loonkosten uitgebreid'!$AF$38-'Tabellen PO-Raad'!$E8*'Loonkosten uitgebreid'!J26)/12*'Tabellen PO-Raad'!$D8),0)</f>
        <v>483.41880000000009</v>
      </c>
      <c r="G21" s="344">
        <f>IF(G$15&lt;&gt;"[leeg]",IF('Loonkosten uitgebreid'!$AF$38/'Loonkosten uitgebreid'!$H$26&lt;'Tabellen PO-Raad'!$E8,0,(+'Loonkosten uitgebreid'!$AF$38-'Tabellen PO-Raad'!$E8*'Loonkosten uitgebreid'!K26)/12*'Tabellen PO-Raad'!$D8),0)</f>
        <v>483.41880000000009</v>
      </c>
      <c r="H21" s="344">
        <f>IF(H$15&lt;&gt;"[leeg]",IF('Loonkosten uitgebreid'!$AF$38/'Loonkosten uitgebreid'!$H$26&lt;'Tabellen PO-Raad'!$E8,0,(+'Loonkosten uitgebreid'!$AF$38-'Tabellen PO-Raad'!$E8*'Loonkosten uitgebreid'!L26)/12*'Tabellen PO-Raad'!$D8),0)</f>
        <v>483.41880000000009</v>
      </c>
      <c r="I21" s="344">
        <f>IF(I$15&lt;&gt;"[leeg]",IF('Loonkosten uitgebreid'!$AF$38/'Loonkosten uitgebreid'!$H$26&lt;'Tabellen PO-Raad'!$E8,0,(+'Loonkosten uitgebreid'!$AF$38-'Tabellen PO-Raad'!$E8*'Loonkosten uitgebreid'!M26)/12*'Tabellen PO-Raad'!$D8),0)</f>
        <v>483.41880000000009</v>
      </c>
      <c r="J21" s="344">
        <f>IF(J$15&lt;&gt;"[leeg]",IF('Loonkosten uitgebreid'!$AF$38/'Loonkosten uitgebreid'!$H$26&lt;'Tabellen PO-Raad'!$E8,0,(+'Loonkosten uitgebreid'!$AF$38-'Tabellen PO-Raad'!$E8*'Loonkosten uitgebreid'!N26)/12*'Tabellen PO-Raad'!$D8),0)</f>
        <v>0</v>
      </c>
      <c r="K21" s="344">
        <f>IF(K$15&lt;&gt;"[leeg]",IF('Loonkosten uitgebreid'!$AF$38/'Loonkosten uitgebreid'!$H$26&lt;'Tabellen PO-Raad'!$E8,0,(+'Loonkosten uitgebreid'!$AF$38-'Tabellen PO-Raad'!$E8*'Loonkosten uitgebreid'!O26)/12*'Tabellen PO-Raad'!$D8),0)</f>
        <v>0</v>
      </c>
      <c r="L21" s="344">
        <f>IF(L$15&lt;&gt;"[leeg]",IF('Loonkosten uitgebreid'!$AF$38/'Loonkosten uitgebreid'!$H$26&lt;'Tabellen PO-Raad'!$E8,0,(+'Loonkosten uitgebreid'!$AF$38-'Tabellen PO-Raad'!$E8*'Loonkosten uitgebreid'!P26)/12*'Tabellen PO-Raad'!$D8),0)</f>
        <v>0</v>
      </c>
      <c r="M21" s="344">
        <f>IF(M$15&lt;&gt;"[leeg]",IF('Loonkosten uitgebreid'!$AF$38/'Loonkosten uitgebreid'!$H$26&lt;'Tabellen PO-Raad'!$E8,0,(+'Loonkosten uitgebreid'!$AF$38-'Tabellen PO-Raad'!$E8*'Loonkosten uitgebreid'!Q26)/12*'Tabellen PO-Raad'!$D8),0)</f>
        <v>0</v>
      </c>
      <c r="N21" s="334"/>
      <c r="O21" s="344">
        <f>D21</f>
        <v>483.41880000000009</v>
      </c>
      <c r="P21" s="344">
        <f t="shared" ref="P21:X23" si="3">E21</f>
        <v>483.41880000000009</v>
      </c>
      <c r="Q21" s="344">
        <f t="shared" si="3"/>
        <v>483.41880000000009</v>
      </c>
      <c r="R21" s="344">
        <f t="shared" si="3"/>
        <v>483.41880000000009</v>
      </c>
      <c r="S21" s="344">
        <f t="shared" si="3"/>
        <v>483.41880000000009</v>
      </c>
      <c r="T21" s="344">
        <f t="shared" si="3"/>
        <v>483.41880000000009</v>
      </c>
      <c r="U21" s="344">
        <f t="shared" si="3"/>
        <v>0</v>
      </c>
      <c r="V21" s="344">
        <f t="shared" si="3"/>
        <v>0</v>
      </c>
      <c r="W21" s="344">
        <f t="shared" si="3"/>
        <v>0</v>
      </c>
      <c r="X21" s="344">
        <f t="shared" si="3"/>
        <v>0</v>
      </c>
      <c r="Y21" s="334"/>
      <c r="Z21" s="344">
        <f t="shared" ref="Z21:AI23" si="4">D21*12</f>
        <v>5801.0256000000008</v>
      </c>
      <c r="AA21" s="344">
        <f t="shared" si="4"/>
        <v>5801.0256000000008</v>
      </c>
      <c r="AB21" s="344">
        <f t="shared" si="4"/>
        <v>5801.0256000000008</v>
      </c>
      <c r="AC21" s="344">
        <f t="shared" si="4"/>
        <v>5801.0256000000008</v>
      </c>
      <c r="AD21" s="344">
        <f t="shared" si="4"/>
        <v>5801.0256000000008</v>
      </c>
      <c r="AE21" s="344">
        <f t="shared" si="4"/>
        <v>5801.0256000000008</v>
      </c>
      <c r="AF21" s="344">
        <f t="shared" si="4"/>
        <v>0</v>
      </c>
      <c r="AG21" s="344">
        <f t="shared" si="4"/>
        <v>0</v>
      </c>
      <c r="AH21" s="344">
        <f t="shared" si="4"/>
        <v>0</v>
      </c>
      <c r="AI21" s="344">
        <f t="shared" si="4"/>
        <v>0</v>
      </c>
      <c r="AJ21" s="334"/>
      <c r="AK21" s="344">
        <f>O21*12</f>
        <v>5801.0256000000008</v>
      </c>
      <c r="AL21" s="344">
        <f t="shared" ref="AL21:AT23" si="5">P21*12</f>
        <v>5801.0256000000008</v>
      </c>
      <c r="AM21" s="344">
        <f t="shared" si="5"/>
        <v>5801.0256000000008</v>
      </c>
      <c r="AN21" s="344">
        <f t="shared" si="5"/>
        <v>5801.0256000000008</v>
      </c>
      <c r="AO21" s="344">
        <f t="shared" si="5"/>
        <v>5801.0256000000008</v>
      </c>
      <c r="AP21" s="344">
        <f t="shared" si="5"/>
        <v>5801.0256000000008</v>
      </c>
      <c r="AQ21" s="344">
        <f t="shared" si="5"/>
        <v>0</v>
      </c>
      <c r="AR21" s="344">
        <f t="shared" si="5"/>
        <v>0</v>
      </c>
      <c r="AS21" s="344">
        <f t="shared" si="5"/>
        <v>0</v>
      </c>
      <c r="AT21" s="344">
        <f t="shared" si="5"/>
        <v>0</v>
      </c>
    </row>
    <row r="22" spans="2:46" ht="16.5" thickTop="1" thickBot="1" x14ac:dyDescent="0.3">
      <c r="B22" s="337"/>
      <c r="C22" s="95" t="s">
        <v>29</v>
      </c>
      <c r="D22" s="344">
        <f>IF(D$15&lt;&gt;"[leeg]",IF('Loonkosten uitgebreid'!$AF$38/'Loonkosten uitgebreid'!$H$26&lt;'Tabellen PO-Raad'!$E9,0,(+'Loonkosten uitgebreid'!$AF$38-'Tabellen PO-Raad'!$E9*'Loonkosten uitgebreid'!$H$26)/12*'Tabellen PO-Raad'!$D9),0)</f>
        <v>13.897710000000002</v>
      </c>
      <c r="E22" s="344">
        <f>IF(E$15&lt;&gt;"[leeg]",IF('Loonkosten uitgebreid'!$AF$38/'Loonkosten uitgebreid'!$H$26&lt;'Tabellen PO-Raad'!$E9,0,(+'Loonkosten uitgebreid'!$AF$38-'Tabellen PO-Raad'!$E9*'Loonkosten uitgebreid'!$H$26)/12*'Tabellen PO-Raad'!$D9),0)</f>
        <v>13.897710000000002</v>
      </c>
      <c r="F22" s="344">
        <f>IF(F$15&lt;&gt;"[leeg]",IF('Loonkosten uitgebreid'!$AF$38/'Loonkosten uitgebreid'!$H$26&lt;'Tabellen PO-Raad'!$E9,0,(+'Loonkosten uitgebreid'!$AF$38-'Tabellen PO-Raad'!$E9*'Loonkosten uitgebreid'!$H$26)/12*'Tabellen PO-Raad'!$D9),0)</f>
        <v>13.897710000000002</v>
      </c>
      <c r="G22" s="344">
        <f>IF(G$15&lt;&gt;"[leeg]",IF('Loonkosten uitgebreid'!$AF$38/'Loonkosten uitgebreid'!$H$26&lt;'Tabellen PO-Raad'!$E9,0,(+'Loonkosten uitgebreid'!$AF$38-'Tabellen PO-Raad'!$E9*'Loonkosten uitgebreid'!$H$26)/12*'Tabellen PO-Raad'!$D9),0)</f>
        <v>13.897710000000002</v>
      </c>
      <c r="H22" s="344">
        <f>IF(H$15&lt;&gt;"[leeg]",IF('Loonkosten uitgebreid'!$AF$38/'Loonkosten uitgebreid'!$H$26&lt;'Tabellen PO-Raad'!$E9,0,(+'Loonkosten uitgebreid'!$AF$38-'Tabellen PO-Raad'!$E9*'Loonkosten uitgebreid'!$H$26)/12*'Tabellen PO-Raad'!$D9),0)</f>
        <v>13.897710000000002</v>
      </c>
      <c r="I22" s="344">
        <f>IF(I$15&lt;&gt;"[leeg]",IF('Loonkosten uitgebreid'!$AF$38/'Loonkosten uitgebreid'!$H$26&lt;'Tabellen PO-Raad'!$E9,0,(+'Loonkosten uitgebreid'!$AF$38-'Tabellen PO-Raad'!$E9*'Loonkosten uitgebreid'!$H$26)/12*'Tabellen PO-Raad'!$D9),0)</f>
        <v>13.897710000000002</v>
      </c>
      <c r="J22" s="344">
        <f>IF(J$15&lt;&gt;"[leeg]",IF('Loonkosten uitgebreid'!$AF$38/'Loonkosten uitgebreid'!$H$26&lt;'Tabellen PO-Raad'!$E9,0,(+'Loonkosten uitgebreid'!$AF$38-'Tabellen PO-Raad'!$E9*'Loonkosten uitgebreid'!$H$26)/12*'Tabellen PO-Raad'!$D9),0)</f>
        <v>0</v>
      </c>
      <c r="K22" s="344">
        <f>IF(K$15&lt;&gt;"[leeg]",IF('Loonkosten uitgebreid'!$AF$38/'Loonkosten uitgebreid'!$H$26&lt;'Tabellen PO-Raad'!$E9,0,(+'Loonkosten uitgebreid'!$AF$38-'Tabellen PO-Raad'!$E9*'Loonkosten uitgebreid'!$H$26)/12*'Tabellen PO-Raad'!$D9),0)</f>
        <v>0</v>
      </c>
      <c r="L22" s="344">
        <f>IF(L$15&lt;&gt;"[leeg]",IF('Loonkosten uitgebreid'!$AF$38/'Loonkosten uitgebreid'!$H$26&lt;'Tabellen PO-Raad'!$E9,0,(+'Loonkosten uitgebreid'!$AF$38-'Tabellen PO-Raad'!$E9*'Loonkosten uitgebreid'!$H$26)/12*'Tabellen PO-Raad'!$D9),0)</f>
        <v>0</v>
      </c>
      <c r="M22" s="344">
        <f>IF(M$15&lt;&gt;"[leeg]",IF('Loonkosten uitgebreid'!$AF$38/'Loonkosten uitgebreid'!$H$26&lt;'Tabellen PO-Raad'!$E9,0,(+'Loonkosten uitgebreid'!$AF$38-'Tabellen PO-Raad'!$E9*'Loonkosten uitgebreid'!$H$26)/12*'Tabellen PO-Raad'!$D9),0)</f>
        <v>0</v>
      </c>
      <c r="N22" s="334"/>
      <c r="O22" s="344">
        <f t="shared" ref="O22:O23" si="6">D22</f>
        <v>13.897710000000002</v>
      </c>
      <c r="P22" s="344">
        <f t="shared" si="3"/>
        <v>13.897710000000002</v>
      </c>
      <c r="Q22" s="344">
        <f t="shared" si="3"/>
        <v>13.897710000000002</v>
      </c>
      <c r="R22" s="344">
        <f t="shared" si="3"/>
        <v>13.897710000000002</v>
      </c>
      <c r="S22" s="344">
        <f t="shared" si="3"/>
        <v>13.897710000000002</v>
      </c>
      <c r="T22" s="344">
        <f t="shared" si="3"/>
        <v>13.897710000000002</v>
      </c>
      <c r="U22" s="344">
        <f t="shared" si="3"/>
        <v>0</v>
      </c>
      <c r="V22" s="344">
        <f t="shared" si="3"/>
        <v>0</v>
      </c>
      <c r="W22" s="344">
        <f t="shared" si="3"/>
        <v>0</v>
      </c>
      <c r="X22" s="344">
        <f t="shared" si="3"/>
        <v>0</v>
      </c>
      <c r="Y22" s="334"/>
      <c r="Z22" s="344">
        <f t="shared" si="4"/>
        <v>166.77252000000001</v>
      </c>
      <c r="AA22" s="344">
        <f t="shared" si="4"/>
        <v>166.77252000000001</v>
      </c>
      <c r="AB22" s="344">
        <f t="shared" si="4"/>
        <v>166.77252000000001</v>
      </c>
      <c r="AC22" s="344">
        <f t="shared" si="4"/>
        <v>166.77252000000001</v>
      </c>
      <c r="AD22" s="344">
        <f t="shared" si="4"/>
        <v>166.77252000000001</v>
      </c>
      <c r="AE22" s="344">
        <f t="shared" si="4"/>
        <v>166.77252000000001</v>
      </c>
      <c r="AF22" s="344">
        <f t="shared" si="4"/>
        <v>0</v>
      </c>
      <c r="AG22" s="344">
        <f t="shared" si="4"/>
        <v>0</v>
      </c>
      <c r="AH22" s="344">
        <f t="shared" si="4"/>
        <v>0</v>
      </c>
      <c r="AI22" s="344">
        <f t="shared" si="4"/>
        <v>0</v>
      </c>
      <c r="AJ22" s="334"/>
      <c r="AK22" s="344">
        <f>O22*12</f>
        <v>166.77252000000001</v>
      </c>
      <c r="AL22" s="344">
        <f t="shared" si="5"/>
        <v>166.77252000000001</v>
      </c>
      <c r="AM22" s="344">
        <f t="shared" si="5"/>
        <v>166.77252000000001</v>
      </c>
      <c r="AN22" s="344">
        <f t="shared" si="5"/>
        <v>166.77252000000001</v>
      </c>
      <c r="AO22" s="344">
        <f t="shared" si="5"/>
        <v>166.77252000000001</v>
      </c>
      <c r="AP22" s="344">
        <f t="shared" si="5"/>
        <v>166.77252000000001</v>
      </c>
      <c r="AQ22" s="344">
        <f t="shared" si="5"/>
        <v>0</v>
      </c>
      <c r="AR22" s="344">
        <f t="shared" si="5"/>
        <v>0</v>
      </c>
      <c r="AS22" s="344">
        <f t="shared" si="5"/>
        <v>0</v>
      </c>
      <c r="AT22" s="344">
        <f t="shared" si="5"/>
        <v>0</v>
      </c>
    </row>
    <row r="23" spans="2:46" ht="16.5" thickTop="1" thickBot="1" x14ac:dyDescent="0.3">
      <c r="B23" s="337"/>
      <c r="C23" s="95" t="s">
        <v>37</v>
      </c>
      <c r="D23" s="344">
        <f>IF(D$15&lt;&gt;"[leeg]",'Loonkosten uitgebreid'!$AF$38/12*'Tabellen PO-Raad'!$D10,0)</f>
        <v>0</v>
      </c>
      <c r="E23" s="344">
        <f>IF(E$15&lt;&gt;"[leeg]",'Loonkosten uitgebreid'!$AF$38/12*'Tabellen PO-Raad'!$D10,0)</f>
        <v>0</v>
      </c>
      <c r="F23" s="344">
        <f>IF(F$15&lt;&gt;"[leeg]",'Loonkosten uitgebreid'!$AF$38/12*'Tabellen PO-Raad'!$D10,0)</f>
        <v>0</v>
      </c>
      <c r="G23" s="344">
        <f>IF(G$15&lt;&gt;"[leeg]",'Loonkosten uitgebreid'!$AF$38/12*'Tabellen PO-Raad'!$D10,0)</f>
        <v>0</v>
      </c>
      <c r="H23" s="344">
        <f>IF(H$15&lt;&gt;"[leeg]",'Loonkosten uitgebreid'!$AF$38/12*'Tabellen PO-Raad'!$D10,0)</f>
        <v>0</v>
      </c>
      <c r="I23" s="344">
        <f>IF(I$15&lt;&gt;"[leeg]",'Loonkosten uitgebreid'!$AF$38/12*'Tabellen PO-Raad'!$D10,0)</f>
        <v>0</v>
      </c>
      <c r="J23" s="344">
        <f>IF(J$15&lt;&gt;"[leeg]",'Loonkosten uitgebreid'!$AF$38/12*'Tabellen PO-Raad'!$D10,0)</f>
        <v>0</v>
      </c>
      <c r="K23" s="344">
        <f>IF(K$15&lt;&gt;"[leeg]",'Loonkosten uitgebreid'!$AF$38/12*'Tabellen PO-Raad'!$D10,0)</f>
        <v>0</v>
      </c>
      <c r="L23" s="344">
        <f>IF(L$15&lt;&gt;"[leeg]",'Loonkosten uitgebreid'!$AF$38/12*'Tabellen PO-Raad'!$D10,0)</f>
        <v>0</v>
      </c>
      <c r="M23" s="344">
        <f>IF(M$15&lt;&gt;"[leeg]",'Loonkosten uitgebreid'!$AF$38/12*'Tabellen PO-Raad'!$D10,0)</f>
        <v>0</v>
      </c>
      <c r="N23" s="334"/>
      <c r="O23" s="344">
        <f t="shared" si="6"/>
        <v>0</v>
      </c>
      <c r="P23" s="344">
        <f t="shared" si="3"/>
        <v>0</v>
      </c>
      <c r="Q23" s="344">
        <f t="shared" si="3"/>
        <v>0</v>
      </c>
      <c r="R23" s="344">
        <f t="shared" si="3"/>
        <v>0</v>
      </c>
      <c r="S23" s="344">
        <f t="shared" si="3"/>
        <v>0</v>
      </c>
      <c r="T23" s="344">
        <f t="shared" si="3"/>
        <v>0</v>
      </c>
      <c r="U23" s="344">
        <f t="shared" si="3"/>
        <v>0</v>
      </c>
      <c r="V23" s="344">
        <f t="shared" si="3"/>
        <v>0</v>
      </c>
      <c r="W23" s="344">
        <f t="shared" si="3"/>
        <v>0</v>
      </c>
      <c r="X23" s="344">
        <f t="shared" ref="X23" si="7">M23</f>
        <v>0</v>
      </c>
      <c r="Y23" s="334"/>
      <c r="Z23" s="344">
        <f t="shared" si="4"/>
        <v>0</v>
      </c>
      <c r="AA23" s="344">
        <f t="shared" si="4"/>
        <v>0</v>
      </c>
      <c r="AB23" s="344">
        <f t="shared" si="4"/>
        <v>0</v>
      </c>
      <c r="AC23" s="344">
        <f t="shared" si="4"/>
        <v>0</v>
      </c>
      <c r="AD23" s="344">
        <f t="shared" si="4"/>
        <v>0</v>
      </c>
      <c r="AE23" s="344">
        <f t="shared" si="4"/>
        <v>0</v>
      </c>
      <c r="AF23" s="344">
        <f t="shared" si="4"/>
        <v>0</v>
      </c>
      <c r="AG23" s="344">
        <f t="shared" si="4"/>
        <v>0</v>
      </c>
      <c r="AH23" s="344">
        <f t="shared" si="4"/>
        <v>0</v>
      </c>
      <c r="AI23" s="344">
        <f t="shared" si="4"/>
        <v>0</v>
      </c>
      <c r="AJ23" s="334"/>
      <c r="AK23" s="344">
        <f>O23*12</f>
        <v>0</v>
      </c>
      <c r="AL23" s="344">
        <f t="shared" si="5"/>
        <v>0</v>
      </c>
      <c r="AM23" s="344">
        <f t="shared" si="5"/>
        <v>0</v>
      </c>
      <c r="AN23" s="344">
        <f t="shared" si="5"/>
        <v>0</v>
      </c>
      <c r="AO23" s="344">
        <f t="shared" si="5"/>
        <v>0</v>
      </c>
      <c r="AP23" s="344">
        <f t="shared" si="5"/>
        <v>0</v>
      </c>
      <c r="AQ23" s="344">
        <f t="shared" si="5"/>
        <v>0</v>
      </c>
      <c r="AR23" s="344">
        <f t="shared" si="5"/>
        <v>0</v>
      </c>
      <c r="AS23" s="344">
        <f t="shared" si="5"/>
        <v>0</v>
      </c>
      <c r="AT23" s="344">
        <f t="shared" si="5"/>
        <v>0</v>
      </c>
    </row>
    <row r="24" spans="2:46" s="339" customFormat="1" ht="16.5" collapsed="1" thickTop="1" thickBot="1" x14ac:dyDescent="0.3">
      <c r="B24" s="337"/>
      <c r="C24" s="335" t="s">
        <v>54</v>
      </c>
      <c r="D24" s="345">
        <f>SUM(D21:D23)</f>
        <v>497.31651000000011</v>
      </c>
      <c r="E24" s="345">
        <f t="shared" ref="E24:M24" si="8">SUM(E21:E23)</f>
        <v>497.31651000000011</v>
      </c>
      <c r="F24" s="345">
        <f t="shared" si="8"/>
        <v>497.31651000000011</v>
      </c>
      <c r="G24" s="345">
        <f t="shared" si="8"/>
        <v>497.31651000000011</v>
      </c>
      <c r="H24" s="345">
        <f t="shared" si="8"/>
        <v>497.31651000000011</v>
      </c>
      <c r="I24" s="345">
        <f t="shared" si="8"/>
        <v>497.31651000000011</v>
      </c>
      <c r="J24" s="345">
        <f t="shared" si="8"/>
        <v>0</v>
      </c>
      <c r="K24" s="345">
        <f t="shared" si="8"/>
        <v>0</v>
      </c>
      <c r="L24" s="345">
        <f t="shared" si="8"/>
        <v>0</v>
      </c>
      <c r="M24" s="345">
        <f t="shared" si="8"/>
        <v>0</v>
      </c>
      <c r="N24" s="338"/>
      <c r="O24" s="345">
        <f>SUM(O21:O23)</f>
        <v>497.31651000000011</v>
      </c>
      <c r="P24" s="345">
        <f t="shared" ref="P24:X24" si="9">SUM(P21:P23)</f>
        <v>497.31651000000011</v>
      </c>
      <c r="Q24" s="345">
        <f t="shared" si="9"/>
        <v>497.31651000000011</v>
      </c>
      <c r="R24" s="345">
        <f t="shared" si="9"/>
        <v>497.31651000000011</v>
      </c>
      <c r="S24" s="345">
        <f t="shared" si="9"/>
        <v>497.31651000000011</v>
      </c>
      <c r="T24" s="345">
        <f t="shared" si="9"/>
        <v>497.31651000000011</v>
      </c>
      <c r="U24" s="345">
        <f t="shared" si="9"/>
        <v>0</v>
      </c>
      <c r="V24" s="345">
        <f t="shared" si="9"/>
        <v>0</v>
      </c>
      <c r="W24" s="345">
        <f t="shared" si="9"/>
        <v>0</v>
      </c>
      <c r="X24" s="345">
        <f t="shared" si="9"/>
        <v>0</v>
      </c>
      <c r="Y24" s="338"/>
      <c r="Z24" s="345">
        <f>SUM(Z21:Z23)</f>
        <v>5967.7981200000013</v>
      </c>
      <c r="AA24" s="345">
        <f t="shared" ref="AA24:AI24" si="10">SUM(AA21:AA23)</f>
        <v>5967.7981200000013</v>
      </c>
      <c r="AB24" s="345">
        <f t="shared" si="10"/>
        <v>5967.7981200000013</v>
      </c>
      <c r="AC24" s="345">
        <f t="shared" si="10"/>
        <v>5967.7981200000013</v>
      </c>
      <c r="AD24" s="345">
        <f t="shared" si="10"/>
        <v>5967.7981200000013</v>
      </c>
      <c r="AE24" s="345">
        <f t="shared" si="10"/>
        <v>5967.7981200000013</v>
      </c>
      <c r="AF24" s="345">
        <f t="shared" si="10"/>
        <v>0</v>
      </c>
      <c r="AG24" s="345">
        <f t="shared" si="10"/>
        <v>0</v>
      </c>
      <c r="AH24" s="345">
        <f t="shared" si="10"/>
        <v>0</v>
      </c>
      <c r="AI24" s="345">
        <f t="shared" si="10"/>
        <v>0</v>
      </c>
      <c r="AJ24" s="338"/>
      <c r="AK24" s="345">
        <f t="shared" ref="AK24:AT24" si="11">SUM(AK21:AK23)</f>
        <v>5967.7981200000013</v>
      </c>
      <c r="AL24" s="345">
        <f t="shared" si="11"/>
        <v>5967.7981200000013</v>
      </c>
      <c r="AM24" s="345">
        <f t="shared" si="11"/>
        <v>5967.7981200000013</v>
      </c>
      <c r="AN24" s="345">
        <f t="shared" si="11"/>
        <v>5967.7981200000013</v>
      </c>
      <c r="AO24" s="345">
        <f t="shared" si="11"/>
        <v>5967.7981200000013</v>
      </c>
      <c r="AP24" s="345">
        <f t="shared" si="11"/>
        <v>5967.7981200000013</v>
      </c>
      <c r="AQ24" s="345">
        <f t="shared" si="11"/>
        <v>0</v>
      </c>
      <c r="AR24" s="345">
        <f t="shared" si="11"/>
        <v>0</v>
      </c>
      <c r="AS24" s="345">
        <f t="shared" si="11"/>
        <v>0</v>
      </c>
      <c r="AT24" s="345">
        <f t="shared" si="11"/>
        <v>0</v>
      </c>
    </row>
    <row r="25" spans="2:46" ht="16.5" thickTop="1" thickBot="1" x14ac:dyDescent="0.3">
      <c r="B25" s="337"/>
      <c r="C25" s="95" t="s">
        <v>85</v>
      </c>
      <c r="D25" s="344">
        <f>IF(D$15&lt;&gt;"[leeg]",'Loonkosten uitgebreid'!H37,0)</f>
        <v>7509.8</v>
      </c>
      <c r="E25" s="344">
        <f>IF(E$15&lt;&gt;"[leeg]",'Loonkosten uitgebreid'!I37,0)</f>
        <v>7509.8</v>
      </c>
      <c r="F25" s="344">
        <f>IF(F$15&lt;&gt;"[leeg]",'Loonkosten uitgebreid'!J37,0)</f>
        <v>7509.8</v>
      </c>
      <c r="G25" s="344">
        <f>IF(G$15&lt;&gt;"[leeg]",'Loonkosten uitgebreid'!K37,0)</f>
        <v>7509.8</v>
      </c>
      <c r="H25" s="344">
        <f>IF(H$15&lt;&gt;"[leeg]",'Loonkosten uitgebreid'!L37,0)</f>
        <v>7509.8</v>
      </c>
      <c r="I25" s="344">
        <f>IF(I$15&lt;&gt;"[leeg]",'Loonkosten uitgebreid'!M37,0)</f>
        <v>7509.8</v>
      </c>
      <c r="J25" s="344">
        <f>IF(J$15&lt;&gt;"[leeg]",'Loonkosten uitgebreid'!N37,0)</f>
        <v>0</v>
      </c>
      <c r="K25" s="344">
        <f>IF(K$15&lt;&gt;"[leeg]",'Loonkosten uitgebreid'!O37,0)</f>
        <v>0</v>
      </c>
      <c r="L25" s="344">
        <f>IF(L$15&lt;&gt;"[leeg]",'Loonkosten uitgebreid'!P37,0)</f>
        <v>0</v>
      </c>
      <c r="M25" s="344">
        <f>IF(M$15&lt;&gt;"[leeg]",'Loonkosten uitgebreid'!Q37,0)</f>
        <v>0</v>
      </c>
      <c r="N25" s="334"/>
      <c r="O25" s="344">
        <f>IF(O$15&lt;&gt;"[leeg]",'Loonkosten uitgebreid'!T37,0)</f>
        <v>4795.2649999999994</v>
      </c>
      <c r="P25" s="344">
        <f>IF(P$15&lt;&gt;"[leeg]",'Loonkosten uitgebreid'!U37,0)</f>
        <v>4766.3649999999998</v>
      </c>
      <c r="Q25" s="344">
        <f>IF(Q$15&lt;&gt;"[leeg]",'Loonkosten uitgebreid'!V37,0)</f>
        <v>4766.3649999999998</v>
      </c>
      <c r="R25" s="344">
        <f>IF(R$15&lt;&gt;"[leeg]",'Loonkosten uitgebreid'!W37,0)</f>
        <v>4766.3649999999998</v>
      </c>
      <c r="S25" s="344">
        <f>IF(S$15&lt;&gt;"[leeg]",'Loonkosten uitgebreid'!X37,0)</f>
        <v>4766.3649999999998</v>
      </c>
      <c r="T25" s="344">
        <f>IF(T$15&lt;&gt;"[leeg]",'Loonkosten uitgebreid'!Y37,0)</f>
        <v>4766.3649999999998</v>
      </c>
      <c r="U25" s="344">
        <f>IF(U$15&lt;&gt;"[leeg]",'Loonkosten uitgebreid'!Z37,0)</f>
        <v>0</v>
      </c>
      <c r="V25" s="344">
        <f>IF(V$15&lt;&gt;"[leeg]",'Loonkosten uitgebreid'!AA37,0)</f>
        <v>0</v>
      </c>
      <c r="W25" s="344">
        <f>IF(W$15&lt;&gt;"[leeg]",'Loonkosten uitgebreid'!AB37,0)</f>
        <v>0</v>
      </c>
      <c r="X25" s="344">
        <f>IF(X$15&lt;&gt;"[leeg]",'Loonkosten uitgebreid'!AC37,0)</f>
        <v>0</v>
      </c>
      <c r="Y25" s="334"/>
      <c r="Z25" s="344">
        <f>IF(Z15&lt;&gt;"[leeg]",'Loonkosten uitgebreid'!AF37,0)</f>
        <v>90117.6</v>
      </c>
      <c r="AA25" s="344">
        <f>IF(AA15&lt;&gt;"[leeg]",'Loonkosten uitgebreid'!AG37,0)</f>
        <v>90117.6</v>
      </c>
      <c r="AB25" s="344">
        <f>IF(AB15&lt;&gt;"[leeg]",'Loonkosten uitgebreid'!AH37,0)</f>
        <v>90117.6</v>
      </c>
      <c r="AC25" s="344">
        <f>IF(AC15&lt;&gt;"[leeg]",'Loonkosten uitgebreid'!AI37,0)</f>
        <v>90117.6</v>
      </c>
      <c r="AD25" s="344">
        <f>IF(AD15&lt;&gt;"[leeg]",'Loonkosten uitgebreid'!AJ37,0)</f>
        <v>90117.6</v>
      </c>
      <c r="AE25" s="344">
        <f>IF(AE15&lt;&gt;"[leeg]",'Loonkosten uitgebreid'!AK37,0)</f>
        <v>90117.6</v>
      </c>
      <c r="AF25" s="344">
        <f>IF(AF15&lt;&gt;"[leeg]",'Loonkosten uitgebreid'!AL37,0)</f>
        <v>0</v>
      </c>
      <c r="AG25" s="344">
        <f>IF(AG15&lt;&gt;"[leeg]",'Loonkosten uitgebreid'!AM37,0)</f>
        <v>0</v>
      </c>
      <c r="AH25" s="344">
        <f>IF(AH15&lt;&gt;"[leeg]",'Loonkosten uitgebreid'!AN37,0)</f>
        <v>0</v>
      </c>
      <c r="AI25" s="344">
        <f>IF(AI15&lt;&gt;"[leeg]",'Loonkosten uitgebreid'!AO37,0)</f>
        <v>0</v>
      </c>
      <c r="AJ25" s="334"/>
      <c r="AK25" s="344">
        <f>IF(AK15&lt;&gt;"[leeg]",'Loonkosten uitgebreid'!AR37,0)</f>
        <v>57543.18</v>
      </c>
      <c r="AL25" s="344">
        <f>IF(AL15&lt;&gt;"[leeg]",'Loonkosten uitgebreid'!AS37,0)</f>
        <v>57196.38</v>
      </c>
      <c r="AM25" s="344">
        <f>IF(AM15&lt;&gt;"[leeg]",'Loonkosten uitgebreid'!AT37,0)</f>
        <v>57196.38</v>
      </c>
      <c r="AN25" s="344">
        <f>IF(AN15&lt;&gt;"[leeg]",'Loonkosten uitgebreid'!AU37,0)</f>
        <v>57196.38</v>
      </c>
      <c r="AO25" s="344">
        <f>IF(AO15&lt;&gt;"[leeg]",'Loonkosten uitgebreid'!AV37,0)</f>
        <v>57196.38</v>
      </c>
      <c r="AP25" s="344">
        <f>IF(AP15&lt;&gt;"[leeg]",'Loonkosten uitgebreid'!AW37,0)</f>
        <v>57196.38</v>
      </c>
      <c r="AQ25" s="344">
        <f>IF(AQ15&lt;&gt;"[leeg]",'Loonkosten uitgebreid'!AX37,0)</f>
        <v>0</v>
      </c>
      <c r="AR25" s="344">
        <f>IF(AR15&lt;&gt;"[leeg]",'Loonkosten uitgebreid'!AY37,0)</f>
        <v>0</v>
      </c>
      <c r="AS25" s="344">
        <f>IF(AS15&lt;&gt;"[leeg]",'Loonkosten uitgebreid'!AZ37,0)</f>
        <v>0</v>
      </c>
      <c r="AT25" s="344">
        <f>IF(AT15&lt;&gt;"[leeg]",'Loonkosten uitgebreid'!BA37,0)</f>
        <v>0</v>
      </c>
    </row>
    <row r="26" spans="2:46" ht="16.5" thickTop="1" thickBot="1" x14ac:dyDescent="0.3">
      <c r="B26" s="337"/>
      <c r="C26" s="95" t="s">
        <v>55</v>
      </c>
      <c r="D26" s="344">
        <f>D21</f>
        <v>483.41880000000009</v>
      </c>
      <c r="E26" s="344">
        <f t="shared" ref="E26:X26" si="12">E21</f>
        <v>483.41880000000009</v>
      </c>
      <c r="F26" s="344">
        <f t="shared" si="12"/>
        <v>483.41880000000009</v>
      </c>
      <c r="G26" s="344">
        <f t="shared" si="12"/>
        <v>483.41880000000009</v>
      </c>
      <c r="H26" s="344">
        <f t="shared" si="12"/>
        <v>483.41880000000009</v>
      </c>
      <c r="I26" s="344">
        <f t="shared" si="12"/>
        <v>483.41880000000009</v>
      </c>
      <c r="J26" s="344">
        <f t="shared" si="12"/>
        <v>0</v>
      </c>
      <c r="K26" s="344">
        <f t="shared" si="12"/>
        <v>0</v>
      </c>
      <c r="L26" s="344">
        <f t="shared" si="12"/>
        <v>0</v>
      </c>
      <c r="M26" s="344">
        <f t="shared" si="12"/>
        <v>0</v>
      </c>
      <c r="N26" s="334"/>
      <c r="O26" s="344">
        <f t="shared" si="12"/>
        <v>483.41880000000009</v>
      </c>
      <c r="P26" s="344">
        <f t="shared" si="12"/>
        <v>483.41880000000009</v>
      </c>
      <c r="Q26" s="344">
        <f t="shared" si="12"/>
        <v>483.41880000000009</v>
      </c>
      <c r="R26" s="344">
        <f t="shared" si="12"/>
        <v>483.41880000000009</v>
      </c>
      <c r="S26" s="344">
        <f t="shared" si="12"/>
        <v>483.41880000000009</v>
      </c>
      <c r="T26" s="344">
        <f t="shared" si="12"/>
        <v>483.41880000000009</v>
      </c>
      <c r="U26" s="344">
        <f t="shared" si="12"/>
        <v>0</v>
      </c>
      <c r="V26" s="344">
        <f t="shared" si="12"/>
        <v>0</v>
      </c>
      <c r="W26" s="344">
        <f t="shared" si="12"/>
        <v>0</v>
      </c>
      <c r="X26" s="344">
        <f t="shared" si="12"/>
        <v>0</v>
      </c>
      <c r="Y26" s="334"/>
      <c r="Z26" s="344">
        <f>Z21</f>
        <v>5801.0256000000008</v>
      </c>
      <c r="AA26" s="344">
        <f t="shared" ref="AA26:AT26" si="13">AA21</f>
        <v>5801.0256000000008</v>
      </c>
      <c r="AB26" s="344">
        <f t="shared" si="13"/>
        <v>5801.0256000000008</v>
      </c>
      <c r="AC26" s="344">
        <f t="shared" si="13"/>
        <v>5801.0256000000008</v>
      </c>
      <c r="AD26" s="344">
        <f t="shared" si="13"/>
        <v>5801.0256000000008</v>
      </c>
      <c r="AE26" s="344">
        <f t="shared" si="13"/>
        <v>5801.0256000000008</v>
      </c>
      <c r="AF26" s="344">
        <f t="shared" si="13"/>
        <v>0</v>
      </c>
      <c r="AG26" s="344">
        <f t="shared" si="13"/>
        <v>0</v>
      </c>
      <c r="AH26" s="344">
        <f t="shared" si="13"/>
        <v>0</v>
      </c>
      <c r="AI26" s="344">
        <f t="shared" si="13"/>
        <v>0</v>
      </c>
      <c r="AJ26" s="334"/>
      <c r="AK26" s="344">
        <f t="shared" si="13"/>
        <v>5801.0256000000008</v>
      </c>
      <c r="AL26" s="344">
        <f t="shared" si="13"/>
        <v>5801.0256000000008</v>
      </c>
      <c r="AM26" s="344">
        <f t="shared" si="13"/>
        <v>5801.0256000000008</v>
      </c>
      <c r="AN26" s="344">
        <f t="shared" si="13"/>
        <v>5801.0256000000008</v>
      </c>
      <c r="AO26" s="344">
        <f t="shared" si="13"/>
        <v>5801.0256000000008</v>
      </c>
      <c r="AP26" s="344">
        <f t="shared" si="13"/>
        <v>5801.0256000000008</v>
      </c>
      <c r="AQ26" s="344">
        <f t="shared" si="13"/>
        <v>0</v>
      </c>
      <c r="AR26" s="344">
        <f t="shared" si="13"/>
        <v>0</v>
      </c>
      <c r="AS26" s="344">
        <f t="shared" si="13"/>
        <v>0</v>
      </c>
      <c r="AT26" s="344">
        <f t="shared" si="13"/>
        <v>0</v>
      </c>
    </row>
    <row r="27" spans="2:46" ht="16.5" thickTop="1" thickBot="1" x14ac:dyDescent="0.3">
      <c r="B27" s="337"/>
      <c r="C27" s="41" t="s">
        <v>43</v>
      </c>
      <c r="D27" s="344">
        <f>D25-D26</f>
        <v>7026.3811999999998</v>
      </c>
      <c r="E27" s="344">
        <f t="shared" ref="E27:M27" si="14">E25-E26</f>
        <v>7026.3811999999998</v>
      </c>
      <c r="F27" s="344">
        <f t="shared" si="14"/>
        <v>7026.3811999999998</v>
      </c>
      <c r="G27" s="344">
        <f t="shared" si="14"/>
        <v>7026.3811999999998</v>
      </c>
      <c r="H27" s="344">
        <f t="shared" si="14"/>
        <v>7026.3811999999998</v>
      </c>
      <c r="I27" s="344">
        <f t="shared" si="14"/>
        <v>7026.3811999999998</v>
      </c>
      <c r="J27" s="344">
        <f t="shared" si="14"/>
        <v>0</v>
      </c>
      <c r="K27" s="344">
        <f t="shared" si="14"/>
        <v>0</v>
      </c>
      <c r="L27" s="344">
        <f t="shared" si="14"/>
        <v>0</v>
      </c>
      <c r="M27" s="344">
        <f t="shared" si="14"/>
        <v>0</v>
      </c>
      <c r="N27" s="334"/>
      <c r="O27" s="344">
        <f>O25-O26</f>
        <v>4311.846199999999</v>
      </c>
      <c r="P27" s="344">
        <f t="shared" ref="P27:X27" si="15">P25-P26</f>
        <v>4282.9461999999994</v>
      </c>
      <c r="Q27" s="344">
        <f t="shared" si="15"/>
        <v>4282.9461999999994</v>
      </c>
      <c r="R27" s="344">
        <f t="shared" si="15"/>
        <v>4282.9461999999994</v>
      </c>
      <c r="S27" s="344">
        <f t="shared" si="15"/>
        <v>4282.9461999999994</v>
      </c>
      <c r="T27" s="344">
        <f t="shared" si="15"/>
        <v>4282.9461999999994</v>
      </c>
      <c r="U27" s="344">
        <f t="shared" si="15"/>
        <v>0</v>
      </c>
      <c r="V27" s="344">
        <f t="shared" si="15"/>
        <v>0</v>
      </c>
      <c r="W27" s="344">
        <f t="shared" si="15"/>
        <v>0</v>
      </c>
      <c r="X27" s="344">
        <f t="shared" si="15"/>
        <v>0</v>
      </c>
      <c r="Y27" s="334"/>
      <c r="Z27" s="344">
        <f>IF(Z15&lt;&gt;"[leeg]",'Loonkosten uitgebreid'!AF37-Z24,0)</f>
        <v>84149.801879999999</v>
      </c>
      <c r="AA27" s="344">
        <f>IF(AA15&lt;&gt;"[leeg]",'Loonkosten uitgebreid'!AG37-AA24,0)</f>
        <v>84149.801879999999</v>
      </c>
      <c r="AB27" s="344">
        <f>IF(AB15&lt;&gt;"[leeg]",'Loonkosten uitgebreid'!AH37-AB24,0)</f>
        <v>84149.801879999999</v>
      </c>
      <c r="AC27" s="344">
        <f>IF(AC15&lt;&gt;"[leeg]",'Loonkosten uitgebreid'!AI37-AC24,0)</f>
        <v>84149.801879999999</v>
      </c>
      <c r="AD27" s="344">
        <f>IF(AD15&lt;&gt;"[leeg]",'Loonkosten uitgebreid'!AJ37-AD24,0)</f>
        <v>84149.801879999999</v>
      </c>
      <c r="AE27" s="344">
        <f>IF(AE15&lt;&gt;"[leeg]",'Loonkosten uitgebreid'!AK37-AE24,0)</f>
        <v>84149.801879999999</v>
      </c>
      <c r="AF27" s="344">
        <f>IF(AF15&lt;&gt;"[leeg]",'Loonkosten uitgebreid'!AL37-AF24,0)</f>
        <v>0</v>
      </c>
      <c r="AG27" s="344">
        <f>IF(AG15&lt;&gt;"[leeg]",'Loonkosten uitgebreid'!AM37-AG24,0)</f>
        <v>0</v>
      </c>
      <c r="AH27" s="344">
        <f>IF(AH15&lt;&gt;"[leeg]",'Loonkosten uitgebreid'!AN37-AH24,0)</f>
        <v>0</v>
      </c>
      <c r="AI27" s="344">
        <f>IF(AI15&lt;&gt;"[leeg]",'Loonkosten uitgebreid'!AO37-AI24,0)</f>
        <v>0</v>
      </c>
      <c r="AJ27" s="334"/>
      <c r="AK27" s="348">
        <f>IF(AK15&lt;&gt;"[leeg]",'Loonkosten uitgebreid'!AR37-AK24,0)</f>
        <v>51575.381880000001</v>
      </c>
      <c r="AL27" s="348">
        <f>IF(AL15&lt;&gt;"[leeg]",'Loonkosten uitgebreid'!AS37-AL24,0)</f>
        <v>51228.581879999998</v>
      </c>
      <c r="AM27" s="348">
        <f>IF(AM15&lt;&gt;"[leeg]",'Loonkosten uitgebreid'!AT37-AM24,0)</f>
        <v>51228.581879999998</v>
      </c>
      <c r="AN27" s="348">
        <f>IF(AN15&lt;&gt;"[leeg]",'Loonkosten uitgebreid'!AU37-AN24,0)</f>
        <v>51228.581879999998</v>
      </c>
      <c r="AO27" s="348">
        <f>IF(AO15&lt;&gt;"[leeg]",'Loonkosten uitgebreid'!AV37-AO24,0)</f>
        <v>51228.581879999998</v>
      </c>
      <c r="AP27" s="348">
        <f>IF(AP15&lt;&gt;"[leeg]",'Loonkosten uitgebreid'!AW37-AP24,0)</f>
        <v>51228.581879999998</v>
      </c>
      <c r="AQ27" s="348">
        <f>IF(AQ15&lt;&gt;"[leeg]",'Loonkosten uitgebreid'!AX37-AQ24,0)</f>
        <v>0</v>
      </c>
      <c r="AR27" s="348">
        <f>IF(AR15&lt;&gt;"[leeg]",'Loonkosten uitgebreid'!AY37-AR24,0)</f>
        <v>0</v>
      </c>
      <c r="AS27" s="348">
        <f>IF(AS15&lt;&gt;"[leeg]",'Loonkosten uitgebreid'!AZ37-AS24,0)</f>
        <v>0</v>
      </c>
      <c r="AT27" s="348">
        <f>IF(AT15&lt;&gt;"[leeg]",'Loonkosten uitgebreid'!BA37-AT24,0)</f>
        <v>0</v>
      </c>
    </row>
    <row r="28" spans="2:46" ht="16.5" thickTop="1" thickBot="1" x14ac:dyDescent="0.3">
      <c r="B28" s="337"/>
      <c r="C28" s="95" t="s">
        <v>56</v>
      </c>
      <c r="D28" s="344">
        <f>D27</f>
        <v>7026.3811999999998</v>
      </c>
      <c r="E28" s="344">
        <f t="shared" ref="E28:M28" si="16">E27</f>
        <v>7026.3811999999998</v>
      </c>
      <c r="F28" s="344">
        <f t="shared" si="16"/>
        <v>7026.3811999999998</v>
      </c>
      <c r="G28" s="344">
        <f t="shared" si="16"/>
        <v>7026.3811999999998</v>
      </c>
      <c r="H28" s="344">
        <f t="shared" si="16"/>
        <v>7026.3811999999998</v>
      </c>
      <c r="I28" s="344">
        <f t="shared" si="16"/>
        <v>7026.3811999999998</v>
      </c>
      <c r="J28" s="344">
        <f t="shared" si="16"/>
        <v>0</v>
      </c>
      <c r="K28" s="344">
        <f t="shared" si="16"/>
        <v>0</v>
      </c>
      <c r="L28" s="344">
        <f t="shared" si="16"/>
        <v>0</v>
      </c>
      <c r="M28" s="344">
        <f t="shared" si="16"/>
        <v>0</v>
      </c>
      <c r="N28" s="334"/>
      <c r="O28" s="344">
        <f>O27</f>
        <v>4311.846199999999</v>
      </c>
      <c r="P28" s="344">
        <f t="shared" ref="P28:X28" si="17">P27</f>
        <v>4282.9461999999994</v>
      </c>
      <c r="Q28" s="344">
        <f t="shared" si="17"/>
        <v>4282.9461999999994</v>
      </c>
      <c r="R28" s="344">
        <f t="shared" si="17"/>
        <v>4282.9461999999994</v>
      </c>
      <c r="S28" s="344">
        <f t="shared" si="17"/>
        <v>4282.9461999999994</v>
      </c>
      <c r="T28" s="344">
        <f t="shared" si="17"/>
        <v>4282.9461999999994</v>
      </c>
      <c r="U28" s="344">
        <f t="shared" si="17"/>
        <v>0</v>
      </c>
      <c r="V28" s="344">
        <f t="shared" si="17"/>
        <v>0</v>
      </c>
      <c r="W28" s="344">
        <f t="shared" si="17"/>
        <v>0</v>
      </c>
      <c r="X28" s="344">
        <f t="shared" si="17"/>
        <v>0</v>
      </c>
      <c r="Y28" s="334"/>
      <c r="Z28" s="344">
        <f>Z27</f>
        <v>84149.801879999999</v>
      </c>
      <c r="AA28" s="344">
        <f t="shared" ref="AA28:AI28" si="18">AA27</f>
        <v>84149.801879999999</v>
      </c>
      <c r="AB28" s="344">
        <f t="shared" si="18"/>
        <v>84149.801879999999</v>
      </c>
      <c r="AC28" s="344">
        <f t="shared" si="18"/>
        <v>84149.801879999999</v>
      </c>
      <c r="AD28" s="344">
        <f t="shared" si="18"/>
        <v>84149.801879999999</v>
      </c>
      <c r="AE28" s="344">
        <f t="shared" si="18"/>
        <v>84149.801879999999</v>
      </c>
      <c r="AF28" s="344">
        <f t="shared" si="18"/>
        <v>0</v>
      </c>
      <c r="AG28" s="344">
        <f t="shared" si="18"/>
        <v>0</v>
      </c>
      <c r="AH28" s="344">
        <f t="shared" si="18"/>
        <v>0</v>
      </c>
      <c r="AI28" s="344">
        <f t="shared" si="18"/>
        <v>0</v>
      </c>
      <c r="AJ28" s="334"/>
      <c r="AK28" s="344">
        <f t="shared" ref="AK28:AT28" si="19">AK27</f>
        <v>51575.381880000001</v>
      </c>
      <c r="AL28" s="344">
        <f t="shared" si="19"/>
        <v>51228.581879999998</v>
      </c>
      <c r="AM28" s="344">
        <f t="shared" si="19"/>
        <v>51228.581879999998</v>
      </c>
      <c r="AN28" s="344">
        <f t="shared" si="19"/>
        <v>51228.581879999998</v>
      </c>
      <c r="AO28" s="344">
        <f t="shared" si="19"/>
        <v>51228.581879999998</v>
      </c>
      <c r="AP28" s="344">
        <f t="shared" si="19"/>
        <v>51228.581879999998</v>
      </c>
      <c r="AQ28" s="344">
        <f t="shared" si="19"/>
        <v>0</v>
      </c>
      <c r="AR28" s="344">
        <f t="shared" si="19"/>
        <v>0</v>
      </c>
      <c r="AS28" s="344">
        <f t="shared" si="19"/>
        <v>0</v>
      </c>
      <c r="AT28" s="344">
        <f t="shared" si="19"/>
        <v>0</v>
      </c>
    </row>
    <row r="29" spans="2:46" ht="16.5" thickTop="1" thickBot="1" x14ac:dyDescent="0.3">
      <c r="B29" s="337"/>
      <c r="C29" s="95" t="s">
        <v>36</v>
      </c>
      <c r="D29" s="344">
        <f>IF(D$15&lt;&gt;"[leeg]",'Loonkosten uitgebreid'!H46,0)</f>
        <v>411.56</v>
      </c>
      <c r="E29" s="427"/>
      <c r="F29" s="427"/>
      <c r="G29" s="427"/>
      <c r="H29" s="427"/>
      <c r="I29" s="427"/>
      <c r="J29" s="427"/>
      <c r="K29" s="427"/>
      <c r="L29" s="427"/>
      <c r="M29" s="427"/>
      <c r="N29" s="334"/>
      <c r="O29" s="344">
        <f>IF(O$15&lt;&gt;"[leeg]",'Loonkosten uitgebreid'!T46,0)</f>
        <v>411.56</v>
      </c>
      <c r="P29" s="427"/>
      <c r="Q29" s="427"/>
      <c r="R29" s="427"/>
      <c r="S29" s="427"/>
      <c r="T29" s="427"/>
      <c r="U29" s="427"/>
      <c r="V29" s="427"/>
      <c r="W29" s="427"/>
      <c r="X29" s="427"/>
      <c r="Y29" s="334"/>
      <c r="Z29" s="344">
        <f>IF(Z15&lt;&gt;"[leeg]",'Loonkosten uitgebreid'!AF46,0)</f>
        <v>4938.72</v>
      </c>
      <c r="AA29" s="427"/>
      <c r="AB29" s="427"/>
      <c r="AC29" s="427"/>
      <c r="AD29" s="427"/>
      <c r="AE29" s="427"/>
      <c r="AF29" s="427"/>
      <c r="AG29" s="427"/>
      <c r="AH29" s="427"/>
      <c r="AI29" s="427"/>
      <c r="AJ29" s="334"/>
      <c r="AK29" s="344">
        <f>IF(AK15&lt;&gt;"[leeg]",'Loonkosten uitgebreid'!AR46,0)</f>
        <v>4938.72</v>
      </c>
      <c r="AL29" s="427"/>
      <c r="AM29" s="427"/>
      <c r="AN29" s="427"/>
      <c r="AO29" s="427"/>
      <c r="AP29" s="427"/>
      <c r="AQ29" s="427"/>
      <c r="AR29" s="427"/>
      <c r="AS29" s="427"/>
      <c r="AT29" s="427"/>
    </row>
    <row r="30" spans="2:46" ht="16.5" thickTop="1" thickBot="1" x14ac:dyDescent="0.3">
      <c r="B30" s="337"/>
      <c r="C30" s="41" t="s">
        <v>23</v>
      </c>
      <c r="D30" s="344">
        <f>SUM(D28:D29)</f>
        <v>7437.9412000000002</v>
      </c>
      <c r="E30" s="427"/>
      <c r="F30" s="427"/>
      <c r="G30" s="427"/>
      <c r="H30" s="427"/>
      <c r="I30" s="427"/>
      <c r="J30" s="427"/>
      <c r="K30" s="427"/>
      <c r="L30" s="427"/>
      <c r="M30" s="427"/>
      <c r="N30" s="334"/>
      <c r="O30" s="344">
        <f>SUM(O28:O29)</f>
        <v>4723.4061999999994</v>
      </c>
      <c r="P30" s="427"/>
      <c r="Q30" s="427"/>
      <c r="R30" s="427"/>
      <c r="S30" s="427"/>
      <c r="T30" s="427"/>
      <c r="U30" s="427"/>
      <c r="V30" s="427"/>
      <c r="W30" s="427"/>
      <c r="X30" s="427"/>
      <c r="Y30" s="334"/>
      <c r="Z30" s="344">
        <f>SUM(Z28:Z29)</f>
        <v>89088.52188</v>
      </c>
      <c r="AA30" s="427"/>
      <c r="AB30" s="427"/>
      <c r="AC30" s="427"/>
      <c r="AD30" s="427"/>
      <c r="AE30" s="427"/>
      <c r="AF30" s="427"/>
      <c r="AG30" s="427"/>
      <c r="AH30" s="427"/>
      <c r="AI30" s="427"/>
      <c r="AJ30" s="334"/>
      <c r="AK30" s="348">
        <f t="shared" ref="AK30" si="20">SUM(AK28:AK29)</f>
        <v>56514.101880000002</v>
      </c>
      <c r="AL30" s="427"/>
      <c r="AM30" s="427"/>
      <c r="AN30" s="427"/>
      <c r="AO30" s="427"/>
      <c r="AP30" s="427"/>
      <c r="AQ30" s="427"/>
      <c r="AR30" s="427"/>
      <c r="AS30" s="427"/>
      <c r="AT30" s="427"/>
    </row>
    <row r="31" spans="2:46" ht="16.5" thickTop="1" thickBot="1" x14ac:dyDescent="0.3">
      <c r="B31" s="95"/>
      <c r="C31" s="95" t="s">
        <v>95</v>
      </c>
      <c r="D31" s="344">
        <f>D30</f>
        <v>7437.9412000000002</v>
      </c>
      <c r="E31" s="427"/>
      <c r="F31" s="427"/>
      <c r="G31" s="427"/>
      <c r="H31" s="427"/>
      <c r="I31" s="427"/>
      <c r="J31" s="427"/>
      <c r="K31" s="427"/>
      <c r="L31" s="427"/>
      <c r="M31" s="427"/>
      <c r="N31" s="334"/>
      <c r="O31" s="344">
        <f>O30</f>
        <v>4723.4061999999994</v>
      </c>
      <c r="P31" s="427"/>
      <c r="Q31" s="427"/>
      <c r="R31" s="427"/>
      <c r="S31" s="427"/>
      <c r="T31" s="427"/>
      <c r="U31" s="427"/>
      <c r="V31" s="427"/>
      <c r="W31" s="427"/>
      <c r="X31" s="427"/>
      <c r="Y31" s="334"/>
      <c r="Z31" s="344">
        <f>Z30</f>
        <v>89088.52188</v>
      </c>
      <c r="AA31" s="427"/>
      <c r="AB31" s="427"/>
      <c r="AC31" s="427"/>
      <c r="AD31" s="427"/>
      <c r="AE31" s="427"/>
      <c r="AF31" s="427"/>
      <c r="AG31" s="427"/>
      <c r="AH31" s="427"/>
      <c r="AI31" s="427"/>
      <c r="AJ31" s="334"/>
      <c r="AK31" s="349">
        <f t="shared" ref="AK31" si="21">AK30</f>
        <v>56514.101880000002</v>
      </c>
      <c r="AL31" s="427"/>
      <c r="AM31" s="427"/>
      <c r="AN31" s="427"/>
      <c r="AO31" s="427"/>
      <c r="AP31" s="427"/>
      <c r="AQ31" s="427"/>
      <c r="AR31" s="427"/>
      <c r="AS31" s="427"/>
      <c r="AT31" s="427"/>
    </row>
    <row r="32" spans="2:46" ht="16.5" thickTop="1" thickBot="1" x14ac:dyDescent="0.3">
      <c r="B32" s="95"/>
      <c r="C32" s="41" t="s">
        <v>94</v>
      </c>
      <c r="D32" s="344">
        <f t="shared" ref="D32" si="22">IF(D$15&lt;&gt;"[leeg]",Z32/12,0)</f>
        <v>4051.533610883333</v>
      </c>
      <c r="E32" s="427"/>
      <c r="F32" s="427"/>
      <c r="G32" s="427"/>
      <c r="H32" s="427"/>
      <c r="I32" s="427"/>
      <c r="J32" s="427"/>
      <c r="K32" s="427"/>
      <c r="L32" s="427"/>
      <c r="M32" s="427"/>
      <c r="N32" s="334"/>
      <c r="O32" s="344">
        <f t="shared" ref="O32:O33" si="23">IF(O$15&lt;&gt;"[leeg]",AK32/12,0)</f>
        <v>1711.9832153853333</v>
      </c>
      <c r="P32" s="427"/>
      <c r="Q32" s="427"/>
      <c r="R32" s="427"/>
      <c r="S32" s="427"/>
      <c r="T32" s="427"/>
      <c r="U32" s="427"/>
      <c r="V32" s="427"/>
      <c r="W32" s="427"/>
      <c r="X32" s="427"/>
      <c r="Y32" s="334"/>
      <c r="Z32" s="344">
        <f>IF('Loonkosten uitgebreid'!$D$9&gt;=Hulptabellen!$E$3,VLOOKUP(Z30,'Tabellen Loonbelasting'!$B$4:$E$7,3,TRUE)*('Inkomensgevolgen uitgebreid'!Z30-VLOOKUP(Z30,'Tabellen Loonbelasting'!$B$4:$E$7,1,TRUE))+VLOOKUP(Z30,'Tabellen Loonbelasting'!$B$10:$E$13,4,TRUE),VLOOKUP(Z30,'Tabellen Loonbelasting'!$B$10:$E$13,3,TRUE)*('Inkomensgevolgen uitgebreid'!Z30-VLOOKUP(Z30,'Tabellen Loonbelasting'!$B$10:$E$13,1,TRUE)))+VLOOKUP(Z30,'Tabellen Loonbelasting'!$B$10:$E$13,4,TRUE)</f>
        <v>48618.403330599998</v>
      </c>
      <c r="AA32" s="427"/>
      <c r="AB32" s="427"/>
      <c r="AC32" s="427"/>
      <c r="AD32" s="427"/>
      <c r="AE32" s="427"/>
      <c r="AF32" s="427"/>
      <c r="AG32" s="427"/>
      <c r="AH32" s="427"/>
      <c r="AI32" s="427"/>
      <c r="AJ32" s="334"/>
      <c r="AK32" s="344">
        <f>IF('Loonkosten uitgebreid'!$D$70&gt;=Hulptabellen!$E$3,VLOOKUP(AK30,'Tabellen Loonbelasting'!$B$4:$E$7,3,TRUE)*('Inkomensgevolgen uitgebreid'!AK30-VLOOKUP(AK30,'Tabellen Loonbelasting'!$B$4:$E$7,1,TRUE))+VLOOKUP(AK30,'Tabellen Loonbelasting'!$B$4:$E$7,4,TRUE),VLOOKUP(AK30,'Tabellen Loonbelasting'!$B$10:$E$13,3,TRUE)*('Inkomensgevolgen uitgebreid'!AK30-VLOOKUP(AK30,'Tabellen Loonbelasting'!$B$10:$E$13,1,TRUE))+VLOOKUP(AK30,'Tabellen Loonbelasting'!$B$10:$E$13,4,TRUE))</f>
        <v>20543.798584624001</v>
      </c>
      <c r="AL32" s="427"/>
      <c r="AM32" s="427"/>
      <c r="AN32" s="427"/>
      <c r="AO32" s="427"/>
      <c r="AP32" s="427"/>
      <c r="AQ32" s="427"/>
      <c r="AR32" s="427"/>
      <c r="AS32" s="427"/>
      <c r="AT32" s="427"/>
    </row>
    <row r="33" spans="2:46" ht="16.5" thickTop="1" thickBot="1" x14ac:dyDescent="0.3">
      <c r="B33" s="95"/>
      <c r="C33" s="41" t="s">
        <v>27</v>
      </c>
      <c r="D33" s="344">
        <f t="shared" ref="D33" si="24">IF(D16&lt;&gt;"[leeg]",Z33/12)</f>
        <v>0</v>
      </c>
      <c r="E33" s="427"/>
      <c r="F33" s="427"/>
      <c r="G33" s="427"/>
      <c r="H33" s="427"/>
      <c r="I33" s="427"/>
      <c r="J33" s="427"/>
      <c r="K33" s="427"/>
      <c r="L33" s="427"/>
      <c r="M33" s="427"/>
      <c r="N33" s="334"/>
      <c r="O33" s="344">
        <f t="shared" si="23"/>
        <v>131.73774615536666</v>
      </c>
      <c r="P33" s="427"/>
      <c r="Q33" s="427"/>
      <c r="R33" s="427"/>
      <c r="S33" s="427"/>
      <c r="T33" s="427"/>
      <c r="U33" s="427"/>
      <c r="V33" s="427"/>
      <c r="W33" s="427"/>
      <c r="X33" s="427"/>
      <c r="Y33" s="334"/>
      <c r="Z33" s="344">
        <f>IF('Loonkosten uitgebreid'!$D$70&gt;Hulptabellen!$E$3,IF(Z31&gt;='Tabellen Loonbelasting'!$B$20,0,IF(Z31&lt;'Tabellen Loonbelasting'!$B$19,'Tabellen Loonbelasting'!$C$18,'Tabellen Loonbelasting'!$C$18-'Tabellen Loonbelasting'!$C$19*('Inkomensgevolgen uitgebreid'!Z31-'Tabellen Loonbelasting'!$B$19-1))),IF(Z31&gt;='Tabellen Loonbelasting'!$B$25,0,IF(Z31&lt;'Tabellen Loonbelasting'!$B$24,'Tabellen Loonbelasting'!$C$23,'Tabellen Loonbelasting'!$C$23-'Tabellen Loonbelasting'!$C$24*('Inkomensgevolgen uitgebreid'!Z31-'Tabellen Loonbelasting'!$B$24-1))))</f>
        <v>0</v>
      </c>
      <c r="AA33" s="427"/>
      <c r="AB33" s="427"/>
      <c r="AC33" s="427"/>
      <c r="AD33" s="427"/>
      <c r="AE33" s="427"/>
      <c r="AF33" s="427"/>
      <c r="AG33" s="427"/>
      <c r="AH33" s="427"/>
      <c r="AI33" s="427"/>
      <c r="AJ33" s="334"/>
      <c r="AK33" s="344">
        <f>IF('Loonkosten uitgebreid'!$D$70&gt;Hulptabellen!$E$3,IF(AK31&gt;='Tabellen Loonbelasting'!$B$20,0,IF(AK31&lt;'Tabellen Loonbelasting'!$B$19,'Tabellen Loonbelasting'!$C$18,'Tabellen Loonbelasting'!$C$18-'Tabellen Loonbelasting'!$C$19*('Inkomensgevolgen uitgebreid'!AK31-'Tabellen Loonbelasting'!$B$19-1))),IF(AK31&gt;='Tabellen Loonbelasting'!$B$25,0,IF(AK31&lt;'Tabellen Loonbelasting'!$B$24,'Tabellen Loonbelasting'!$C$23,'Tabellen Loonbelasting'!$C$23-'Tabellen Loonbelasting'!$C$24*('Inkomensgevolgen uitgebreid'!AK31-'Tabellen Loonbelasting'!$B$24-1))))</f>
        <v>1580.8529538644</v>
      </c>
      <c r="AL33" s="427"/>
      <c r="AM33" s="427"/>
      <c r="AN33" s="427"/>
      <c r="AO33" s="427"/>
      <c r="AP33" s="427"/>
      <c r="AQ33" s="427"/>
      <c r="AR33" s="427"/>
      <c r="AS33" s="427"/>
      <c r="AT33" s="427"/>
    </row>
    <row r="34" spans="2:46" ht="16.5" thickTop="1" thickBot="1" x14ac:dyDescent="0.3">
      <c r="B34" s="95"/>
      <c r="C34" s="41" t="s">
        <v>28</v>
      </c>
      <c r="D34" s="344">
        <f t="shared" ref="D34" si="25">IF(D15&lt;&gt;"[leeg]",IF(Z34="p.m.","p.m.",Z34/12),0)</f>
        <v>10973.442918801002</v>
      </c>
      <c r="E34" s="427"/>
      <c r="F34" s="427"/>
      <c r="G34" s="427"/>
      <c r="H34" s="427"/>
      <c r="I34" s="427"/>
      <c r="J34" s="427"/>
      <c r="K34" s="427"/>
      <c r="L34" s="427"/>
      <c r="M34" s="427"/>
      <c r="N34" s="334"/>
      <c r="O34" s="344">
        <f t="shared" ref="O34" si="26">IF(O$15&lt;&gt;"[leeg]",IF(AK34="p.m.","p.m.",AK34/12),0)</f>
        <v>11150.159147300999</v>
      </c>
      <c r="P34" s="427"/>
      <c r="Q34" s="427"/>
      <c r="R34" s="427"/>
      <c r="S34" s="427"/>
      <c r="T34" s="427"/>
      <c r="U34" s="427"/>
      <c r="V34" s="427"/>
      <c r="W34" s="427"/>
      <c r="X34" s="427"/>
      <c r="Y34" s="334"/>
      <c r="Z34" s="344">
        <f>IF('Loonkosten uitgebreid'!$D$70&gt;Hulptabellen!$E$3,VLOOKUP(Z31,'Tabellen Loonbelasting'!$B$29:$E$33,2,TRUE)+VLOOKUP(Z31,'Tabellen Loonbelasting'!$B$29:$E$33,3,TRUE)*('Inkomensgevolgen uitgebreid'!Z31-VLOOKUP(Z31,'Tabellen Loonbelasting'!$B$29:$E$33,2,TRUE)),VLOOKUP(Z31,'Tabellen Loonbelasting'!$B$38:$E$42,2,TRUE)+VLOOKUP(Z31,'Tabellen Loonbelasting'!$B$38:$E$42,3,TRUE)*('Inkomensgevolgen uitgebreid'!Z31-VLOOKUP(Z31,'Tabellen Loonbelasting'!$B$38:$E$42,2,TRUE)))</f>
        <v>131681.31502561201</v>
      </c>
      <c r="AA34" s="427"/>
      <c r="AB34" s="427"/>
      <c r="AC34" s="427"/>
      <c r="AD34" s="427"/>
      <c r="AE34" s="427"/>
      <c r="AF34" s="427"/>
      <c r="AG34" s="427"/>
      <c r="AH34" s="427"/>
      <c r="AI34" s="427"/>
      <c r="AJ34" s="334"/>
      <c r="AK34" s="344">
        <f>IF('Loonkosten uitgebreid'!$D$70&gt;Hulptabellen!$E$3,VLOOKUP(AK31,'Tabellen Loonbelasting'!$B$29:$E$33,2,TRUE)+VLOOKUP(AK31,'Tabellen Loonbelasting'!$B$29:$E$33,3,TRUE)*('Inkomensgevolgen uitgebreid'!AK31-VLOOKUP(AK31,'Tabellen Loonbelasting'!$B$29:$E$33,2,TRUE)),"p.m.")</f>
        <v>133801.909767612</v>
      </c>
      <c r="AL34" s="427"/>
      <c r="AM34" s="427"/>
      <c r="AN34" s="427"/>
      <c r="AO34" s="427"/>
      <c r="AP34" s="427"/>
      <c r="AQ34" s="427"/>
      <c r="AR34" s="427"/>
      <c r="AS34" s="427"/>
      <c r="AT34" s="427"/>
    </row>
    <row r="35" spans="2:46" ht="16.5" collapsed="1" thickTop="1" thickBot="1" x14ac:dyDescent="0.3">
      <c r="B35" s="335"/>
      <c r="C35" s="335" t="s">
        <v>91</v>
      </c>
      <c r="D35" s="344">
        <f>MAX(D32-D33-IF(D34&lt;&gt;"p.m.",D34,0),0)</f>
        <v>0</v>
      </c>
      <c r="E35" s="427"/>
      <c r="F35" s="427"/>
      <c r="G35" s="427"/>
      <c r="H35" s="427"/>
      <c r="I35" s="427"/>
      <c r="J35" s="427"/>
      <c r="K35" s="427"/>
      <c r="L35" s="427"/>
      <c r="M35" s="427"/>
      <c r="N35" s="334"/>
      <c r="O35" s="344">
        <f>MAX(O32-O33-IF(O34&lt;&gt;"p.m.",O34,0),0)</f>
        <v>0</v>
      </c>
      <c r="P35" s="427"/>
      <c r="Q35" s="427"/>
      <c r="R35" s="427"/>
      <c r="S35" s="427"/>
      <c r="T35" s="427"/>
      <c r="U35" s="427"/>
      <c r="V35" s="427"/>
      <c r="W35" s="427"/>
      <c r="X35" s="427"/>
      <c r="Y35" s="334"/>
      <c r="Z35" s="344">
        <f>MAX(Z32-Z33-IF(Z34&lt;&gt;"p.m.",Z34,0),0)</f>
        <v>0</v>
      </c>
      <c r="AA35" s="427"/>
      <c r="AB35" s="427"/>
      <c r="AC35" s="427"/>
      <c r="AD35" s="427"/>
      <c r="AE35" s="427"/>
      <c r="AF35" s="427"/>
      <c r="AG35" s="427"/>
      <c r="AH35" s="427"/>
      <c r="AI35" s="427"/>
      <c r="AJ35" s="334"/>
      <c r="AK35" s="345">
        <f>MAX(AK32-AK33-IF(AK34&lt;&gt;"p.m.",AK34,0),0)</f>
        <v>0</v>
      </c>
      <c r="AL35" s="427"/>
      <c r="AM35" s="427"/>
      <c r="AN35" s="427"/>
      <c r="AO35" s="427"/>
      <c r="AP35" s="427"/>
      <c r="AQ35" s="427"/>
      <c r="AR35" s="427"/>
      <c r="AS35" s="427"/>
      <c r="AT35" s="427"/>
    </row>
    <row r="36" spans="2:46" ht="15.75" thickTop="1" x14ac:dyDescent="0.25">
      <c r="B36" s="335"/>
      <c r="C36" s="335"/>
      <c r="D36" s="95"/>
      <c r="E36" s="95"/>
      <c r="F36" s="95"/>
      <c r="G36" s="95"/>
      <c r="H36" s="95"/>
      <c r="I36" s="95"/>
      <c r="J36" s="95"/>
      <c r="K36" s="95"/>
      <c r="L36" s="95"/>
      <c r="M36" s="95"/>
      <c r="N36" s="334"/>
      <c r="O36" s="95"/>
      <c r="P36" s="95"/>
      <c r="Q36" s="95"/>
      <c r="R36" s="95"/>
      <c r="S36" s="95"/>
      <c r="T36" s="95"/>
      <c r="U36" s="95"/>
      <c r="V36" s="95"/>
      <c r="W36" s="95"/>
      <c r="X36" s="95"/>
      <c r="Y36" s="334"/>
      <c r="Z36" s="95"/>
      <c r="AA36" s="95"/>
      <c r="AB36" s="95"/>
      <c r="AC36" s="95"/>
      <c r="AD36" s="95"/>
      <c r="AE36" s="95"/>
      <c r="AF36" s="95"/>
      <c r="AG36" s="95"/>
      <c r="AH36" s="95"/>
      <c r="AI36" s="95"/>
      <c r="AJ36" s="334"/>
      <c r="AK36" s="95"/>
      <c r="AL36" s="95"/>
      <c r="AM36" s="95"/>
      <c r="AN36" s="95"/>
      <c r="AO36" s="95"/>
      <c r="AP36" s="95"/>
      <c r="AQ36" s="95"/>
      <c r="AR36" s="95"/>
      <c r="AS36" s="95"/>
      <c r="AT36" s="95"/>
    </row>
    <row r="37" spans="2:46" ht="15.75" thickBot="1" x14ac:dyDescent="0.3">
      <c r="B37" s="95"/>
      <c r="C37" s="41" t="s">
        <v>120</v>
      </c>
      <c r="D37" s="95"/>
      <c r="E37" s="95"/>
      <c r="F37" s="95"/>
      <c r="G37" s="95"/>
      <c r="H37" s="95"/>
      <c r="I37" s="95"/>
      <c r="J37" s="95"/>
      <c r="K37" s="95"/>
      <c r="L37" s="95"/>
      <c r="M37" s="95"/>
      <c r="N37" s="334"/>
      <c r="O37" s="95"/>
      <c r="P37" s="95"/>
      <c r="Q37" s="95"/>
      <c r="R37" s="95"/>
      <c r="S37" s="95"/>
      <c r="T37" s="95"/>
      <c r="U37" s="95"/>
      <c r="V37" s="95"/>
      <c r="W37" s="95"/>
      <c r="X37" s="95"/>
      <c r="Y37" s="334"/>
      <c r="Z37" s="95"/>
      <c r="AA37" s="95"/>
      <c r="AB37" s="95"/>
      <c r="AC37" s="95"/>
      <c r="AD37" s="95"/>
      <c r="AE37" s="95"/>
      <c r="AF37" s="95"/>
      <c r="AG37" s="95"/>
      <c r="AH37" s="95"/>
      <c r="AI37" s="95"/>
      <c r="AJ37" s="334"/>
      <c r="AK37" s="95"/>
      <c r="AL37" s="95"/>
      <c r="AM37" s="95"/>
      <c r="AN37" s="95"/>
      <c r="AO37" s="95"/>
      <c r="AP37" s="95"/>
      <c r="AQ37" s="95"/>
      <c r="AR37" s="95"/>
      <c r="AS37" s="95"/>
      <c r="AT37" s="95"/>
    </row>
    <row r="38" spans="2:46" ht="16.5" thickTop="1" thickBot="1" x14ac:dyDescent="0.3">
      <c r="B38" s="95"/>
      <c r="C38" s="335" t="s">
        <v>90</v>
      </c>
      <c r="D38" s="344">
        <f t="shared" ref="D38:M38" si="27">D17-D24-D35</f>
        <v>7012.4834900000005</v>
      </c>
      <c r="E38" s="344">
        <f t="shared" si="27"/>
        <v>7012.4834900000005</v>
      </c>
      <c r="F38" s="344">
        <f t="shared" si="27"/>
        <v>7012.4834900000005</v>
      </c>
      <c r="G38" s="344">
        <f t="shared" si="27"/>
        <v>7012.4834900000005</v>
      </c>
      <c r="H38" s="344">
        <f t="shared" si="27"/>
        <v>7012.4834900000005</v>
      </c>
      <c r="I38" s="344">
        <f t="shared" si="27"/>
        <v>7012.4834900000005</v>
      </c>
      <c r="J38" s="344">
        <f t="shared" si="27"/>
        <v>0</v>
      </c>
      <c r="K38" s="344">
        <f t="shared" si="27"/>
        <v>0</v>
      </c>
      <c r="L38" s="344">
        <f t="shared" si="27"/>
        <v>0</v>
      </c>
      <c r="M38" s="344">
        <f t="shared" si="27"/>
        <v>0</v>
      </c>
      <c r="N38" s="334"/>
      <c r="O38" s="344">
        <f t="shared" ref="O38:X38" si="28">O17-O24-O35</f>
        <v>4297.9484899999989</v>
      </c>
      <c r="P38" s="344">
        <f t="shared" si="28"/>
        <v>4269.0484899999992</v>
      </c>
      <c r="Q38" s="344">
        <f t="shared" si="28"/>
        <v>4269.0484899999992</v>
      </c>
      <c r="R38" s="344">
        <f t="shared" si="28"/>
        <v>4269.0484899999992</v>
      </c>
      <c r="S38" s="344">
        <f t="shared" si="28"/>
        <v>4269.0484899999992</v>
      </c>
      <c r="T38" s="344">
        <f t="shared" si="28"/>
        <v>4269.0484899999992</v>
      </c>
      <c r="U38" s="344">
        <f t="shared" si="28"/>
        <v>0</v>
      </c>
      <c r="V38" s="344">
        <f t="shared" si="28"/>
        <v>0</v>
      </c>
      <c r="W38" s="344">
        <f t="shared" si="28"/>
        <v>0</v>
      </c>
      <c r="X38" s="344">
        <f t="shared" si="28"/>
        <v>0</v>
      </c>
      <c r="Y38" s="334"/>
      <c r="Z38" s="344">
        <f>Z17-Z24-Z35</f>
        <v>84149.801879999999</v>
      </c>
      <c r="AA38" s="344">
        <f t="shared" ref="AA38:AI38" si="29">AA17-AA24-AA35</f>
        <v>84149.801879999999</v>
      </c>
      <c r="AB38" s="344">
        <f t="shared" si="29"/>
        <v>84149.801879999999</v>
      </c>
      <c r="AC38" s="344">
        <f t="shared" si="29"/>
        <v>84149.801879999999</v>
      </c>
      <c r="AD38" s="344">
        <f t="shared" si="29"/>
        <v>84149.801879999999</v>
      </c>
      <c r="AE38" s="344">
        <f t="shared" si="29"/>
        <v>84149.801879999999</v>
      </c>
      <c r="AF38" s="344">
        <f t="shared" si="29"/>
        <v>0</v>
      </c>
      <c r="AG38" s="344">
        <f t="shared" si="29"/>
        <v>0</v>
      </c>
      <c r="AH38" s="344">
        <f t="shared" si="29"/>
        <v>0</v>
      </c>
      <c r="AI38" s="344">
        <f t="shared" si="29"/>
        <v>0</v>
      </c>
      <c r="AJ38" s="334"/>
      <c r="AK38" s="345">
        <f t="shared" ref="AK38:AT38" si="30">AK17-AK24-AK35</f>
        <v>51575.381880000001</v>
      </c>
      <c r="AL38" s="345">
        <f t="shared" si="30"/>
        <v>51228.581879999998</v>
      </c>
      <c r="AM38" s="345">
        <f t="shared" si="30"/>
        <v>51228.581879999998</v>
      </c>
      <c r="AN38" s="345">
        <f t="shared" si="30"/>
        <v>51228.581879999998</v>
      </c>
      <c r="AO38" s="345">
        <f t="shared" si="30"/>
        <v>51228.581879999998</v>
      </c>
      <c r="AP38" s="345">
        <f t="shared" si="30"/>
        <v>51228.581879999998</v>
      </c>
      <c r="AQ38" s="345">
        <f t="shared" si="30"/>
        <v>0</v>
      </c>
      <c r="AR38" s="345">
        <f t="shared" si="30"/>
        <v>0</v>
      </c>
      <c r="AS38" s="345">
        <f t="shared" si="30"/>
        <v>0</v>
      </c>
      <c r="AT38" s="345">
        <f t="shared" si="30"/>
        <v>0</v>
      </c>
    </row>
    <row r="39" spans="2:46" ht="15.75" thickTop="1" x14ac:dyDescent="0.25">
      <c r="B39" s="95"/>
      <c r="C39" s="95"/>
      <c r="D39" s="95"/>
      <c r="E39" s="95"/>
      <c r="F39" s="95"/>
      <c r="G39" s="95"/>
      <c r="H39" s="95"/>
      <c r="I39" s="95"/>
      <c r="J39" s="95"/>
      <c r="K39" s="95"/>
      <c r="L39" s="95"/>
      <c r="M39" s="334"/>
      <c r="N39" s="95"/>
      <c r="O39" s="95"/>
      <c r="P39" s="95"/>
      <c r="Q39" s="95"/>
      <c r="R39" s="95"/>
      <c r="S39" s="95"/>
      <c r="T39" s="95"/>
      <c r="U39" s="95"/>
      <c r="V39" s="95"/>
      <c r="W39" s="334"/>
      <c r="X39" s="334"/>
      <c r="Y39" s="95"/>
      <c r="Z39" s="95"/>
      <c r="AA39" s="95"/>
      <c r="AB39" s="95"/>
      <c r="AC39" s="95"/>
      <c r="AD39" s="95"/>
      <c r="AE39" s="95"/>
      <c r="AF39" s="95"/>
      <c r="AG39" s="95"/>
      <c r="AH39" s="95"/>
      <c r="AI39" s="95"/>
      <c r="AJ39" s="334"/>
      <c r="AK39" s="95"/>
      <c r="AL39" s="95"/>
      <c r="AM39" s="95"/>
      <c r="AN39" s="95"/>
      <c r="AO39" s="95"/>
      <c r="AP39" s="95"/>
      <c r="AQ39" s="95"/>
      <c r="AR39" s="95"/>
      <c r="AS39" s="95"/>
      <c r="AT39" s="95"/>
    </row>
    <row r="41" spans="2:46" x14ac:dyDescent="0.25">
      <c r="B41" s="95"/>
      <c r="C41" s="95"/>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4"/>
      <c r="AB41" s="334"/>
      <c r="AC41" s="334"/>
      <c r="AD41" s="334"/>
      <c r="AE41" s="334"/>
      <c r="AF41" s="334"/>
      <c r="AG41" s="334"/>
      <c r="AH41" s="334"/>
      <c r="AI41" s="334"/>
      <c r="AJ41" s="334"/>
      <c r="AK41" s="334"/>
      <c r="AL41" s="334"/>
      <c r="AM41" s="334"/>
      <c r="AN41" s="334"/>
      <c r="AO41" s="334"/>
      <c r="AP41" s="334"/>
      <c r="AQ41" s="334"/>
      <c r="AR41" s="334"/>
      <c r="AS41" s="334"/>
      <c r="AT41" s="334"/>
    </row>
    <row r="42" spans="2:46" ht="23.25" x14ac:dyDescent="0.25">
      <c r="B42" s="95"/>
      <c r="C42" s="95"/>
      <c r="D42" s="340" t="s">
        <v>114</v>
      </c>
      <c r="E42" s="334"/>
      <c r="F42" s="334"/>
      <c r="G42" s="334"/>
      <c r="H42" s="334"/>
      <c r="I42" s="334"/>
      <c r="J42" s="334"/>
      <c r="K42" s="334"/>
      <c r="L42" s="334"/>
      <c r="M42" s="334"/>
      <c r="N42" s="334"/>
      <c r="O42" s="334"/>
      <c r="P42" s="334"/>
      <c r="Q42" s="334"/>
      <c r="R42" s="334"/>
      <c r="S42" s="334"/>
      <c r="T42" s="334"/>
      <c r="U42" s="334"/>
      <c r="V42" s="334"/>
      <c r="W42" s="334"/>
      <c r="X42" s="334"/>
      <c r="Y42" s="334"/>
      <c r="Z42" s="334"/>
      <c r="AA42" s="334"/>
      <c r="AB42" s="334"/>
      <c r="AC42" s="334"/>
      <c r="AD42" s="334"/>
      <c r="AE42" s="334"/>
      <c r="AF42" s="334"/>
      <c r="AG42" s="334"/>
      <c r="AH42" s="334"/>
      <c r="AI42" s="334"/>
      <c r="AJ42" s="334"/>
      <c r="AK42" s="334"/>
      <c r="AL42" s="334"/>
      <c r="AM42" s="334"/>
      <c r="AN42" s="334"/>
      <c r="AO42" s="334"/>
      <c r="AP42" s="334"/>
      <c r="AQ42" s="334"/>
      <c r="AR42" s="334"/>
      <c r="AS42" s="334"/>
      <c r="AT42" s="334"/>
    </row>
    <row r="43" spans="2:46" ht="15.75" thickBot="1" x14ac:dyDescent="0.3">
      <c r="B43" s="95"/>
      <c r="C43" s="335" t="s">
        <v>46</v>
      </c>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4"/>
    </row>
    <row r="44" spans="2:46" ht="16.5" thickTop="1" thickBot="1" x14ac:dyDescent="0.3">
      <c r="B44" s="95"/>
      <c r="C44" s="95"/>
      <c r="D44" s="292" t="s">
        <v>108</v>
      </c>
      <c r="E44" s="292"/>
      <c r="F44" s="292"/>
      <c r="G44" s="292"/>
      <c r="H44" s="292"/>
      <c r="I44" s="292"/>
      <c r="J44" s="292"/>
      <c r="K44" s="292"/>
      <c r="L44" s="292"/>
      <c r="M44" s="292"/>
      <c r="N44" s="334"/>
      <c r="O44" s="292" t="s">
        <v>108</v>
      </c>
      <c r="P44" s="292"/>
      <c r="Q44" s="292"/>
      <c r="R44" s="292"/>
      <c r="S44" s="292"/>
      <c r="T44" s="292"/>
      <c r="U44" s="292"/>
      <c r="V44" s="292"/>
      <c r="W44" s="292"/>
      <c r="X44" s="292"/>
      <c r="Y44" s="334"/>
      <c r="Z44" s="292" t="s">
        <v>109</v>
      </c>
      <c r="AA44" s="292"/>
      <c r="AB44" s="292"/>
      <c r="AC44" s="292"/>
      <c r="AD44" s="292"/>
      <c r="AE44" s="292"/>
      <c r="AF44" s="292"/>
      <c r="AG44" s="292"/>
      <c r="AH44" s="292"/>
      <c r="AI44" s="292"/>
      <c r="AJ44" s="334"/>
      <c r="AK44" s="292" t="s">
        <v>109</v>
      </c>
      <c r="AL44" s="292"/>
      <c r="AM44" s="292"/>
      <c r="AN44" s="292"/>
      <c r="AO44" s="292"/>
      <c r="AP44" s="292"/>
      <c r="AQ44" s="292"/>
      <c r="AR44" s="292"/>
      <c r="AS44" s="292"/>
      <c r="AT44" s="292"/>
    </row>
    <row r="45" spans="2:46" ht="16.5" thickTop="1" thickBot="1" x14ac:dyDescent="0.3">
      <c r="B45" s="41"/>
      <c r="C45" s="335"/>
      <c r="D45" s="293" t="s">
        <v>99</v>
      </c>
      <c r="E45" s="293"/>
      <c r="F45" s="293"/>
      <c r="G45" s="293"/>
      <c r="H45" s="293"/>
      <c r="I45" s="293"/>
      <c r="J45" s="293"/>
      <c r="K45" s="293"/>
      <c r="L45" s="293"/>
      <c r="M45" s="293"/>
      <c r="N45" s="334"/>
      <c r="O45" s="293" t="s">
        <v>100</v>
      </c>
      <c r="P45" s="293"/>
      <c r="Q45" s="293"/>
      <c r="R45" s="293"/>
      <c r="S45" s="293"/>
      <c r="T45" s="293"/>
      <c r="U45" s="293"/>
      <c r="V45" s="293"/>
      <c r="W45" s="293"/>
      <c r="X45" s="293"/>
      <c r="Y45" s="334"/>
      <c r="Z45" s="293" t="s">
        <v>99</v>
      </c>
      <c r="AA45" s="293"/>
      <c r="AB45" s="293"/>
      <c r="AC45" s="293"/>
      <c r="AD45" s="293"/>
      <c r="AE45" s="293"/>
      <c r="AF45" s="293"/>
      <c r="AG45" s="293"/>
      <c r="AH45" s="293"/>
      <c r="AI45" s="293"/>
      <c r="AJ45" s="334"/>
      <c r="AK45" s="293" t="s">
        <v>100</v>
      </c>
      <c r="AL45" s="293"/>
      <c r="AM45" s="293"/>
      <c r="AN45" s="293"/>
      <c r="AO45" s="293"/>
      <c r="AP45" s="293"/>
      <c r="AQ45" s="293"/>
      <c r="AR45" s="293"/>
      <c r="AS45" s="293"/>
      <c r="AT45" s="293"/>
    </row>
    <row r="46" spans="2:46" ht="16.5" thickTop="1" thickBot="1" x14ac:dyDescent="0.3">
      <c r="B46" s="41"/>
      <c r="C46" s="335"/>
      <c r="D46" s="293">
        <f>D15</f>
        <v>2025</v>
      </c>
      <c r="E46" s="293">
        <f t="shared" ref="E46:M46" si="31">E15</f>
        <v>2026</v>
      </c>
      <c r="F46" s="293">
        <f t="shared" si="31"/>
        <v>2027</v>
      </c>
      <c r="G46" s="293">
        <f t="shared" si="31"/>
        <v>2028</v>
      </c>
      <c r="H46" s="293">
        <f t="shared" si="31"/>
        <v>2029</v>
      </c>
      <c r="I46" s="293">
        <f t="shared" si="31"/>
        <v>2030</v>
      </c>
      <c r="J46" s="293" t="str">
        <f t="shared" si="31"/>
        <v>[leeg]</v>
      </c>
      <c r="K46" s="293" t="str">
        <f t="shared" si="31"/>
        <v>[leeg]</v>
      </c>
      <c r="L46" s="293" t="str">
        <f t="shared" si="31"/>
        <v>[leeg]</v>
      </c>
      <c r="M46" s="293" t="str">
        <f t="shared" si="31"/>
        <v>[leeg]</v>
      </c>
      <c r="N46" s="334"/>
      <c r="O46" s="293">
        <f>O15</f>
        <v>2025</v>
      </c>
      <c r="P46" s="293">
        <f t="shared" ref="P46:X46" si="32">P15</f>
        <v>2026</v>
      </c>
      <c r="Q46" s="293">
        <f t="shared" si="32"/>
        <v>2027</v>
      </c>
      <c r="R46" s="293">
        <f t="shared" si="32"/>
        <v>2028</v>
      </c>
      <c r="S46" s="293">
        <f t="shared" si="32"/>
        <v>2029</v>
      </c>
      <c r="T46" s="293">
        <f t="shared" si="32"/>
        <v>2030</v>
      </c>
      <c r="U46" s="293" t="str">
        <f t="shared" si="32"/>
        <v>[leeg]</v>
      </c>
      <c r="V46" s="293" t="str">
        <f t="shared" si="32"/>
        <v>[leeg]</v>
      </c>
      <c r="W46" s="293" t="str">
        <f t="shared" si="32"/>
        <v>[leeg]</v>
      </c>
      <c r="X46" s="293" t="str">
        <f t="shared" si="32"/>
        <v>[leeg]</v>
      </c>
      <c r="Y46" s="334"/>
      <c r="Z46" s="293">
        <f t="shared" ref="Z46:AI46" si="33">O15</f>
        <v>2025</v>
      </c>
      <c r="AA46" s="293">
        <f t="shared" si="33"/>
        <v>2026</v>
      </c>
      <c r="AB46" s="293">
        <f t="shared" si="33"/>
        <v>2027</v>
      </c>
      <c r="AC46" s="293">
        <f t="shared" si="33"/>
        <v>2028</v>
      </c>
      <c r="AD46" s="293">
        <f t="shared" si="33"/>
        <v>2029</v>
      </c>
      <c r="AE46" s="293">
        <f t="shared" si="33"/>
        <v>2030</v>
      </c>
      <c r="AF46" s="293" t="str">
        <f t="shared" si="33"/>
        <v>[leeg]</v>
      </c>
      <c r="AG46" s="293" t="str">
        <f t="shared" si="33"/>
        <v>[leeg]</v>
      </c>
      <c r="AH46" s="293" t="str">
        <f t="shared" si="33"/>
        <v>[leeg]</v>
      </c>
      <c r="AI46" s="293" t="str">
        <f t="shared" si="33"/>
        <v>[leeg]</v>
      </c>
      <c r="AJ46" s="334"/>
      <c r="AK46" s="293">
        <f>Z46</f>
        <v>2025</v>
      </c>
      <c r="AL46" s="293">
        <f t="shared" ref="AL46:AT46" si="34">AA46</f>
        <v>2026</v>
      </c>
      <c r="AM46" s="293">
        <f t="shared" si="34"/>
        <v>2027</v>
      </c>
      <c r="AN46" s="293">
        <f t="shared" si="34"/>
        <v>2028</v>
      </c>
      <c r="AO46" s="293">
        <f t="shared" si="34"/>
        <v>2029</v>
      </c>
      <c r="AP46" s="293">
        <f t="shared" si="34"/>
        <v>2030</v>
      </c>
      <c r="AQ46" s="293" t="str">
        <f t="shared" si="34"/>
        <v>[leeg]</v>
      </c>
      <c r="AR46" s="293" t="str">
        <f t="shared" si="34"/>
        <v>[leeg]</v>
      </c>
      <c r="AS46" s="293" t="str">
        <f t="shared" si="34"/>
        <v>[leeg]</v>
      </c>
      <c r="AT46" s="293" t="str">
        <f t="shared" si="34"/>
        <v>[leeg]</v>
      </c>
    </row>
    <row r="47" spans="2:46" ht="16.5" thickTop="1" thickBot="1" x14ac:dyDescent="0.3">
      <c r="B47" s="41"/>
      <c r="C47" s="41" t="s">
        <v>52</v>
      </c>
      <c r="D47" s="336"/>
      <c r="E47" s="336"/>
      <c r="F47" s="336"/>
      <c r="G47" s="336"/>
      <c r="H47" s="336"/>
      <c r="I47" s="336"/>
      <c r="J47" s="336"/>
      <c r="K47" s="336"/>
      <c r="L47" s="336"/>
      <c r="M47" s="336"/>
      <c r="N47" s="334"/>
      <c r="O47" s="336"/>
      <c r="P47" s="336"/>
      <c r="Q47" s="336"/>
      <c r="R47" s="336"/>
      <c r="S47" s="336"/>
      <c r="T47" s="336"/>
      <c r="U47" s="336"/>
      <c r="V47" s="336"/>
      <c r="W47" s="336"/>
      <c r="X47" s="336"/>
      <c r="Y47" s="334"/>
      <c r="Z47" s="336"/>
      <c r="AA47" s="336"/>
      <c r="AB47" s="336"/>
      <c r="AC47" s="336"/>
      <c r="AD47" s="336"/>
      <c r="AE47" s="336"/>
      <c r="AF47" s="336"/>
      <c r="AG47" s="336"/>
      <c r="AH47" s="336"/>
      <c r="AI47" s="336"/>
      <c r="AJ47" s="334"/>
      <c r="AK47" s="336"/>
      <c r="AL47" s="336"/>
      <c r="AM47" s="336"/>
      <c r="AN47" s="336"/>
      <c r="AO47" s="336"/>
      <c r="AP47" s="336"/>
      <c r="AQ47" s="336"/>
      <c r="AR47" s="336"/>
      <c r="AS47" s="336"/>
      <c r="AT47" s="336"/>
    </row>
    <row r="48" spans="2:46" ht="16.5" thickTop="1" thickBot="1" x14ac:dyDescent="0.3">
      <c r="B48" s="41"/>
      <c r="C48" s="335" t="s">
        <v>118</v>
      </c>
      <c r="D48" s="344">
        <f>'Loonkosten uitgebreid'!H94</f>
        <v>2637.2</v>
      </c>
      <c r="E48" s="344">
        <f>IF(E$46&lt;&gt;"[leeg]",'Loonkosten uitgebreid'!I94,0)</f>
        <v>2766.91</v>
      </c>
      <c r="F48" s="344">
        <f>IF(F$46&lt;&gt;"[leeg]",'Loonkosten uitgebreid'!J94,0)</f>
        <v>2910.58</v>
      </c>
      <c r="G48" s="344">
        <f>IF(G$46&lt;&gt;"[leeg]",'Loonkosten uitgebreid'!K94,0)</f>
        <v>3069.37</v>
      </c>
      <c r="H48" s="344">
        <f>IF(H$46&lt;&gt;"[leeg]",'Loonkosten uitgebreid'!L94,0)</f>
        <v>3069.37</v>
      </c>
      <c r="I48" s="344">
        <f>IF(I$46&lt;&gt;"[leeg]",'Loonkosten uitgebreid'!M94,0)</f>
        <v>3069.37</v>
      </c>
      <c r="J48" s="344">
        <f>IF(J$46&lt;&gt;"[leeg]",'Loonkosten uitgebreid'!N94,0)</f>
        <v>0</v>
      </c>
      <c r="K48" s="344">
        <f>IF(K$46&lt;&gt;"[leeg]",'Loonkosten uitgebreid'!O94,0)</f>
        <v>0</v>
      </c>
      <c r="L48" s="344">
        <f>IF(L$46&lt;&gt;"[leeg]",'Loonkosten uitgebreid'!P94,0)</f>
        <v>0</v>
      </c>
      <c r="M48" s="344">
        <f>IF(M$46&lt;&gt;"[leeg]",'Loonkosten uitgebreid'!Q94,0)</f>
        <v>0</v>
      </c>
      <c r="N48" s="334"/>
      <c r="O48" s="344">
        <f>'Loonkosten uitgebreid'!T94</f>
        <v>5274.4</v>
      </c>
      <c r="P48" s="344">
        <f>IF(P$46&lt;&gt;"[leeg]",'Loonkosten uitgebreid'!U94,0)</f>
        <v>5533.82</v>
      </c>
      <c r="Q48" s="344">
        <f>IF(Q$46&lt;&gt;"[leeg]",'Loonkosten uitgebreid'!V94,0)</f>
        <v>5821.15</v>
      </c>
      <c r="R48" s="344">
        <f>IF(R$46&lt;&gt;"[leeg]",'Loonkosten uitgebreid'!W94,0)</f>
        <v>6138.73</v>
      </c>
      <c r="S48" s="344">
        <f>IF(S$46&lt;&gt;"[leeg]",'Loonkosten uitgebreid'!X94,0)</f>
        <v>6138.73</v>
      </c>
      <c r="T48" s="344">
        <f>IF(T$46&lt;&gt;"[leeg]",'Loonkosten uitgebreid'!Y94,0)</f>
        <v>6138.73</v>
      </c>
      <c r="U48" s="344">
        <f>IF(U$46&lt;&gt;"[leeg]",'Loonkosten uitgebreid'!Z94,0)</f>
        <v>0</v>
      </c>
      <c r="V48" s="344">
        <f>IF(V$46&lt;&gt;"[leeg]",'Loonkosten uitgebreid'!AA94,0)</f>
        <v>0</v>
      </c>
      <c r="W48" s="344">
        <f>IF(W$46&lt;&gt;"[leeg]",'Loonkosten uitgebreid'!AB94,0)</f>
        <v>0</v>
      </c>
      <c r="X48" s="344">
        <f>IF(X$46&lt;&gt;"[leeg]",'Loonkosten uitgebreid'!AC94,0)</f>
        <v>0</v>
      </c>
      <c r="Y48" s="334"/>
      <c r="Z48" s="344">
        <f>'Loonkosten uitgebreid'!AF94</f>
        <v>31646.400000000001</v>
      </c>
      <c r="AA48" s="344">
        <f>IF(AA$46&lt;&gt;"[leeg]",'Loonkosten uitgebreid'!AG94,0)</f>
        <v>33202.92</v>
      </c>
      <c r="AB48" s="344">
        <f>IF(AB$46&lt;&gt;"[leeg]",'Loonkosten uitgebreid'!AH94,0)</f>
        <v>34926.959999999999</v>
      </c>
      <c r="AC48" s="344">
        <f>IF(AC$46&lt;&gt;"[leeg]",'Loonkosten uitgebreid'!AI94,0)</f>
        <v>36832.44</v>
      </c>
      <c r="AD48" s="344">
        <f>IF(AD$46&lt;&gt;"[leeg]",'Loonkosten uitgebreid'!AJ94,0)</f>
        <v>36832.44</v>
      </c>
      <c r="AE48" s="344">
        <f>IF(AE$46&lt;&gt;"[leeg]",'Loonkosten uitgebreid'!AK94,0)</f>
        <v>36832.44</v>
      </c>
      <c r="AF48" s="344">
        <f>IF(AF$46&lt;&gt;"[leeg]",'Loonkosten uitgebreid'!AL94,0)</f>
        <v>0</v>
      </c>
      <c r="AG48" s="344">
        <f>IF(AG$46&lt;&gt;"[leeg]",'Loonkosten uitgebreid'!AM94,0)</f>
        <v>0</v>
      </c>
      <c r="AH48" s="344">
        <f>IF(AH$46&lt;&gt;"[leeg]",'Loonkosten uitgebreid'!AN94,0)</f>
        <v>0</v>
      </c>
      <c r="AI48" s="344">
        <f>IF(AI$46&lt;&gt;"[leeg]",'Loonkosten uitgebreid'!AO94,0)</f>
        <v>0</v>
      </c>
      <c r="AJ48" s="334"/>
      <c r="AK48" s="344">
        <f>'Loonkosten uitgebreid'!AR94</f>
        <v>63292.800000000003</v>
      </c>
      <c r="AL48" s="344">
        <f>IF(AL46&lt;&gt;"[leeg]",'Loonkosten uitgebreid'!AS94,0)</f>
        <v>66405.84</v>
      </c>
      <c r="AM48" s="344">
        <f>IF(AM46&lt;&gt;"[leeg]",'Loonkosten uitgebreid'!AT94,0)</f>
        <v>69853.8</v>
      </c>
      <c r="AN48" s="344">
        <f>IF(AN46&lt;&gt;"[leeg]",'Loonkosten uitgebreid'!AU94,0)</f>
        <v>73664.759999999995</v>
      </c>
      <c r="AO48" s="344">
        <f>IF(AO46&lt;&gt;"[leeg]",'Loonkosten uitgebreid'!AV94,0)</f>
        <v>73664.759999999995</v>
      </c>
      <c r="AP48" s="344">
        <f>IF(AP46&lt;&gt;"[leeg]",'Loonkosten uitgebreid'!AW94,0)</f>
        <v>73664.759999999995</v>
      </c>
      <c r="AQ48" s="344">
        <f>IF(AQ46&lt;&gt;"[leeg]",'Loonkosten uitgebreid'!AX94,0)</f>
        <v>0</v>
      </c>
      <c r="AR48" s="344">
        <f>IF(AR46&lt;&gt;"[leeg]",'Loonkosten uitgebreid'!AY94,0)</f>
        <v>0</v>
      </c>
      <c r="AS48" s="344">
        <f>IF(AS46&lt;&gt;"[leeg]",'Loonkosten uitgebreid'!AZ94,0)</f>
        <v>0</v>
      </c>
      <c r="AT48" s="344">
        <f>IF(AT46&lt;&gt;"[leeg]",'Loonkosten uitgebreid'!BA94,0)</f>
        <v>0</v>
      </c>
    </row>
    <row r="49" spans="2:46" ht="16.5" thickTop="1" thickBot="1" x14ac:dyDescent="0.3">
      <c r="B49" s="41"/>
      <c r="C49" s="41" t="s">
        <v>15</v>
      </c>
      <c r="D49" s="344">
        <f>'Loonkosten uitgebreid'!H95</f>
        <v>2637.2000000000003</v>
      </c>
      <c r="E49" s="344">
        <f>IF(E$46&lt;&gt;"[leeg]",'Loonkosten uitgebreid'!I95,0)</f>
        <v>2766.91</v>
      </c>
      <c r="F49" s="344">
        <f>IF(F$46&lt;&gt;"[leeg]",'Loonkosten uitgebreid'!J95,0)</f>
        <v>2910.58</v>
      </c>
      <c r="G49" s="344">
        <f>IF(G$46&lt;&gt;"[leeg]",'Loonkosten uitgebreid'!K95,0)</f>
        <v>3069.3700000000003</v>
      </c>
      <c r="H49" s="344">
        <f>IF(H$46&lt;&gt;"[leeg]",'Loonkosten uitgebreid'!L95,0)</f>
        <v>3069.3700000000003</v>
      </c>
      <c r="I49" s="344">
        <f>IF(I$46&lt;&gt;"[leeg]",'Loonkosten uitgebreid'!M95,0)</f>
        <v>3069.3700000000003</v>
      </c>
      <c r="J49" s="344">
        <f>IF(J$46&lt;&gt;"[leeg]",'Loonkosten uitgebreid'!N95,0)</f>
        <v>0</v>
      </c>
      <c r="K49" s="344">
        <f>IF(K$46&lt;&gt;"[leeg]",'Loonkosten uitgebreid'!O95,0)</f>
        <v>0</v>
      </c>
      <c r="L49" s="344">
        <f>IF(L$46&lt;&gt;"[leeg]",'Loonkosten uitgebreid'!P95,0)</f>
        <v>0</v>
      </c>
      <c r="M49" s="344">
        <f>IF(M$46&lt;&gt;"[leeg]",'Loonkosten uitgebreid'!Q95,0)</f>
        <v>0</v>
      </c>
      <c r="N49" s="334"/>
      <c r="O49" s="344">
        <f>'Loonkosten uitgebreid'!T95</f>
        <v>5274.4000000000005</v>
      </c>
      <c r="P49" s="344">
        <f>IF(P$46&lt;&gt;"[leeg]",'Loonkosten uitgebreid'!U95,0)</f>
        <v>5533.82</v>
      </c>
      <c r="Q49" s="344">
        <f>IF(Q$46&lt;&gt;"[leeg]",'Loonkosten uitgebreid'!V95,0)</f>
        <v>5821.1500000000005</v>
      </c>
      <c r="R49" s="344">
        <f>IF(R$46&lt;&gt;"[leeg]",'Loonkosten uitgebreid'!W95,0)</f>
        <v>6138.73</v>
      </c>
      <c r="S49" s="344">
        <f>IF(S$46&lt;&gt;"[leeg]",'Loonkosten uitgebreid'!X95,0)</f>
        <v>6138.73</v>
      </c>
      <c r="T49" s="344">
        <f>IF(T$46&lt;&gt;"[leeg]",'Loonkosten uitgebreid'!Y95,0)</f>
        <v>6138.73</v>
      </c>
      <c r="U49" s="344">
        <f>IF(U$46&lt;&gt;"[leeg]",'Loonkosten uitgebreid'!Z95,0)</f>
        <v>0</v>
      </c>
      <c r="V49" s="344">
        <f>IF(V$46&lt;&gt;"[leeg]",'Loonkosten uitgebreid'!AA95,0)</f>
        <v>0</v>
      </c>
      <c r="W49" s="344">
        <f>IF(W$46&lt;&gt;"[leeg]",'Loonkosten uitgebreid'!AB95,0)</f>
        <v>0</v>
      </c>
      <c r="X49" s="344">
        <f>IF(X$46&lt;&gt;"[leeg]",'Loonkosten uitgebreid'!AC95,0)</f>
        <v>0</v>
      </c>
      <c r="Y49" s="334"/>
      <c r="Z49" s="344">
        <f>'Loonkosten uitgebreid'!AF95</f>
        <v>31646.400000000001</v>
      </c>
      <c r="AA49" s="344">
        <f>IF(AA$46&lt;&gt;"[leeg]",'Loonkosten uitgebreid'!AG95,0)</f>
        <v>33202.92</v>
      </c>
      <c r="AB49" s="344">
        <f>IF(AB$46&lt;&gt;"[leeg]",'Loonkosten uitgebreid'!AH95,0)</f>
        <v>34926.959999999999</v>
      </c>
      <c r="AC49" s="344">
        <f>IF(AC$46&lt;&gt;"[leeg]",'Loonkosten uitgebreid'!AI95,0)</f>
        <v>36832.44</v>
      </c>
      <c r="AD49" s="344">
        <f>IF(AD$46&lt;&gt;"[leeg]",'Loonkosten uitgebreid'!AJ95,0)</f>
        <v>36832.44</v>
      </c>
      <c r="AE49" s="344">
        <f>IF(AE$46&lt;&gt;"[leeg]",'Loonkosten uitgebreid'!AK95,0)</f>
        <v>36832.44</v>
      </c>
      <c r="AF49" s="344">
        <f>IF(AF$46&lt;&gt;"[leeg]",'Loonkosten uitgebreid'!AL95,0)</f>
        <v>0</v>
      </c>
      <c r="AG49" s="344">
        <f>IF(AG$46&lt;&gt;"[leeg]",'Loonkosten uitgebreid'!AM95,0)</f>
        <v>0</v>
      </c>
      <c r="AH49" s="344">
        <f>IF(AH$46&lt;&gt;"[leeg]",'Loonkosten uitgebreid'!AN95,0)</f>
        <v>0</v>
      </c>
      <c r="AI49" s="344">
        <f>IF(AI$46&lt;&gt;"[leeg]",'Loonkosten uitgebreid'!AO95,0)</f>
        <v>0</v>
      </c>
      <c r="AJ49" s="334"/>
      <c r="AK49" s="344">
        <f>'Loonkosten uitgebreid'!AR95</f>
        <v>63292.800000000003</v>
      </c>
      <c r="AL49" s="344">
        <f>IF(AL46&lt;&gt;"[leeg]",'Loonkosten uitgebreid'!AS95,0)</f>
        <v>66405.84</v>
      </c>
      <c r="AM49" s="344">
        <f>IF(AM46&lt;&gt;"[leeg]",'Loonkosten uitgebreid'!AT95,0)</f>
        <v>69853.8</v>
      </c>
      <c r="AN49" s="344">
        <f>IF(AN46&lt;&gt;"[leeg]",'Loonkosten uitgebreid'!AU95,0)</f>
        <v>73664.759999999995</v>
      </c>
      <c r="AO49" s="344">
        <f>IF(AO46&lt;&gt;"[leeg]",'Loonkosten uitgebreid'!AV95,0)</f>
        <v>73664.759999999995</v>
      </c>
      <c r="AP49" s="344">
        <f>IF(AP46&lt;&gt;"[leeg]",'Loonkosten uitgebreid'!AW95,0)</f>
        <v>73664.759999999995</v>
      </c>
      <c r="AQ49" s="344">
        <f>IF(AQ46&lt;&gt;"[leeg]",'Loonkosten uitgebreid'!AX95,0)</f>
        <v>0</v>
      </c>
      <c r="AR49" s="344">
        <f>IF(AR46&lt;&gt;"[leeg]",'Loonkosten uitgebreid'!AY95,0)</f>
        <v>0</v>
      </c>
      <c r="AS49" s="344">
        <f>IF(AS46&lt;&gt;"[leeg]",'Loonkosten uitgebreid'!AZ95,0)</f>
        <v>0</v>
      </c>
      <c r="AT49" s="344">
        <f>IF(AT46&lt;&gt;"[leeg]",'Loonkosten uitgebreid'!BA95,0)</f>
        <v>0</v>
      </c>
    </row>
    <row r="50" spans="2:46" ht="15.75" thickTop="1" x14ac:dyDescent="0.25">
      <c r="B50" s="41"/>
      <c r="C50" s="41"/>
      <c r="D50" s="335"/>
      <c r="E50" s="335"/>
      <c r="F50" s="335"/>
      <c r="G50" s="335"/>
      <c r="H50" s="335"/>
      <c r="I50" s="335"/>
      <c r="J50" s="335"/>
      <c r="K50" s="335"/>
      <c r="L50" s="335"/>
      <c r="M50" s="335"/>
      <c r="N50" s="334"/>
      <c r="O50" s="335"/>
      <c r="P50" s="335"/>
      <c r="Q50" s="335"/>
      <c r="R50" s="335"/>
      <c r="S50" s="335"/>
      <c r="T50" s="335"/>
      <c r="U50" s="335"/>
      <c r="V50" s="335"/>
      <c r="W50" s="335"/>
      <c r="X50" s="335"/>
      <c r="Y50" s="334"/>
      <c r="Z50" s="335"/>
      <c r="AA50" s="335"/>
      <c r="AB50" s="335"/>
      <c r="AC50" s="335"/>
      <c r="AD50" s="335"/>
      <c r="AE50" s="335"/>
      <c r="AF50" s="335"/>
      <c r="AG50" s="335"/>
      <c r="AH50" s="335"/>
      <c r="AI50" s="335"/>
      <c r="AJ50" s="334"/>
      <c r="AK50" s="335"/>
      <c r="AL50" s="335"/>
      <c r="AM50" s="335"/>
      <c r="AN50" s="335"/>
      <c r="AO50" s="335"/>
      <c r="AP50" s="335"/>
      <c r="AQ50" s="335"/>
      <c r="AR50" s="335"/>
      <c r="AS50" s="335"/>
      <c r="AT50" s="335"/>
    </row>
    <row r="51" spans="2:46" ht="15.75" thickBot="1" x14ac:dyDescent="0.3">
      <c r="B51" s="41"/>
      <c r="C51" s="41" t="s">
        <v>119</v>
      </c>
      <c r="D51" s="335"/>
      <c r="E51" s="335"/>
      <c r="F51" s="335"/>
      <c r="G51" s="335"/>
      <c r="H51" s="335"/>
      <c r="I51" s="335"/>
      <c r="J51" s="335"/>
      <c r="K51" s="335"/>
      <c r="L51" s="335"/>
      <c r="M51" s="335"/>
      <c r="N51" s="334"/>
      <c r="O51" s="335"/>
      <c r="P51" s="335"/>
      <c r="Q51" s="335"/>
      <c r="R51" s="335"/>
      <c r="S51" s="335"/>
      <c r="T51" s="335"/>
      <c r="U51" s="335"/>
      <c r="V51" s="335"/>
      <c r="W51" s="335"/>
      <c r="X51" s="335"/>
      <c r="Y51" s="334"/>
      <c r="Z51" s="335"/>
      <c r="AA51" s="335"/>
      <c r="AB51" s="335"/>
      <c r="AC51" s="335"/>
      <c r="AD51" s="335"/>
      <c r="AE51" s="335"/>
      <c r="AF51" s="335"/>
      <c r="AG51" s="335"/>
      <c r="AH51" s="335"/>
      <c r="AI51" s="335"/>
      <c r="AJ51" s="334"/>
      <c r="AK51" s="335"/>
      <c r="AL51" s="335"/>
      <c r="AM51" s="335"/>
      <c r="AN51" s="335"/>
      <c r="AO51" s="335"/>
      <c r="AP51" s="335"/>
      <c r="AQ51" s="335"/>
      <c r="AR51" s="335"/>
      <c r="AS51" s="335"/>
      <c r="AT51" s="335"/>
    </row>
    <row r="52" spans="2:46" ht="16.5" thickTop="1" thickBot="1" x14ac:dyDescent="0.3">
      <c r="B52" s="41"/>
      <c r="C52" s="95" t="s">
        <v>9</v>
      </c>
      <c r="D52" s="344">
        <f>IF('Loonkosten uitgebreid'!AF$95/'Loonkosten uitgebreid'!H$84&lt;'Tabellen PO-Raad'!$E$8,0,(+'Loonkosten uitgebreid'!AF$95-'Tabellen PO-Raad'!$E$8*'Loonkosten uitgebreid'!H$84)/12*'Tabellen PO-Raad'!$D$8)</f>
        <v>151.17570000000001</v>
      </c>
      <c r="E52" s="344">
        <f>IF(E46&lt;&gt;"[leeg]",IF('Loonkosten uitgebreid'!AF$95/'Loonkosten uitgebreid'!H$84&lt;'Tabellen PO-Raad'!$E$8,0,(+'Loonkosten uitgebreid'!AF$95-'Tabellen PO-Raad'!$E$8*'Loonkosten uitgebreid'!H$84)/12*'Tabellen PO-Raad'!$D$8),0)</f>
        <v>151.17570000000001</v>
      </c>
      <c r="F52" s="344">
        <f>IF(F46&lt;&gt;"[leeg]",IF('Loonkosten uitgebreid'!AG$95/'Loonkosten uitgebreid'!I$84&lt;'Tabellen PO-Raad'!$E$8,0,(+'Loonkosten uitgebreid'!AG$95-'Tabellen PO-Raad'!$E$8*'Loonkosten uitgebreid'!I$84)/12*'Tabellen PO-Raad'!$D$8),0)</f>
        <v>161.68221</v>
      </c>
      <c r="G52" s="344">
        <f>IF(G46&lt;&gt;"[leeg]",IF('Loonkosten uitgebreid'!AH$95/'Loonkosten uitgebreid'!J$84&lt;'Tabellen PO-Raad'!$E$8,0,(+'Loonkosten uitgebreid'!AH$95-'Tabellen PO-Raad'!$E$8*'Loonkosten uitgebreid'!J$84)/12*'Tabellen PO-Raad'!$D$8),0)</f>
        <v>173.31948</v>
      </c>
      <c r="H52" s="344">
        <f>IF(H46&lt;&gt;"[leeg]",IF('Loonkosten uitgebreid'!AI$95/'Loonkosten uitgebreid'!K$84&lt;'Tabellen PO-Raad'!$E$8,0,(+'Loonkosten uitgebreid'!AI$95-'Tabellen PO-Raad'!$E$8*'Loonkosten uitgebreid'!K$84)/12*'Tabellen PO-Raad'!$D$8),0)</f>
        <v>186.18147000000002</v>
      </c>
      <c r="I52" s="344">
        <f>IF(I46&lt;&gt;"[leeg]",IF('Loonkosten uitgebreid'!AJ$95/'Loonkosten uitgebreid'!L$84&lt;'Tabellen PO-Raad'!$E$8,0,(+'Loonkosten uitgebreid'!AJ$95-'Tabellen PO-Raad'!$E$8*'Loonkosten uitgebreid'!L$84)/12*'Tabellen PO-Raad'!$D$8),0)</f>
        <v>186.18147000000002</v>
      </c>
      <c r="J52" s="344">
        <f>IF(J46&lt;&gt;"[leeg]",IF('Loonkosten uitgebreid'!AK$95/'Loonkosten uitgebreid'!M$84&lt;'Tabellen PO-Raad'!$E$8,0,(+'Loonkosten uitgebreid'!AK$95-'Tabellen PO-Raad'!$E$8*'Loonkosten uitgebreid'!M$84)/12*'Tabellen PO-Raad'!$D$8),0)</f>
        <v>0</v>
      </c>
      <c r="K52" s="344">
        <f>IF(K46&lt;&gt;"[leeg]",IF('Loonkosten uitgebreid'!AL$95/'Loonkosten uitgebreid'!N$84&lt;'Tabellen PO-Raad'!$E$8,0,(+'Loonkosten uitgebreid'!AL$95-'Tabellen PO-Raad'!$E$8*'Loonkosten uitgebreid'!N$84)/12*'Tabellen PO-Raad'!$D$8),0)</f>
        <v>0</v>
      </c>
      <c r="L52" s="344">
        <f>IF(L46&lt;&gt;"[leeg]",IF('Loonkosten uitgebreid'!AM$95/'Loonkosten uitgebreid'!O$84&lt;'Tabellen PO-Raad'!$E$8,0,(+'Loonkosten uitgebreid'!AM$95-'Tabellen PO-Raad'!$E$8*'Loonkosten uitgebreid'!O$84)/12*'Tabellen PO-Raad'!$D$8),0)</f>
        <v>0</v>
      </c>
      <c r="M52" s="344">
        <f>IF(M46&lt;&gt;"[leeg]",IF('Loonkosten uitgebreid'!AN$95/'Loonkosten uitgebreid'!P$84&lt;'Tabellen PO-Raad'!$E$8,0,(+'Loonkosten uitgebreid'!AN$95-'Tabellen PO-Raad'!$E$8*'Loonkosten uitgebreid'!P$84)/12*'Tabellen PO-Raad'!$D$8),0)</f>
        <v>0</v>
      </c>
      <c r="N52" s="334"/>
      <c r="O52" s="344">
        <f>IF('Loonkosten uitgebreid'!AR$95/'Loonkosten uitgebreid'!T$84&lt;'Tabellen PO-Raad'!$E$8,0,(+'Loonkosten uitgebreid'!AR$95-'Tabellen PO-Raad'!$E$8*'Loonkosten uitgebreid'!T$84)/12*'Tabellen PO-Raad'!$D$8)</f>
        <v>302.35140000000001</v>
      </c>
      <c r="P52" s="344">
        <f>IF(P46&lt;&gt;"[leeg]",IF('Loonkosten uitgebreid'!AS$95/'Loonkosten uitgebreid'!U$84&lt;'Tabellen PO-Raad'!$E$8,0,(+'Loonkosten uitgebreid'!AS$95-'Tabellen PO-Raad'!$E$8*'Loonkosten uitgebreid'!U$84)/12*'Tabellen PO-Raad'!$D$8),0)</f>
        <v>323.36442</v>
      </c>
      <c r="Q52" s="344">
        <f>IF(Q46&lt;&gt;"[leeg]",IF('Loonkosten uitgebreid'!AR$95/'Loonkosten uitgebreid'!T$84&lt;'Tabellen PO-Raad'!$E$8,0,(+'Loonkosten uitgebreid'!AR$95-'Tabellen PO-Raad'!$E$8*'Loonkosten uitgebreid'!T$84)/12*'Tabellen PO-Raad'!$D$8),0)</f>
        <v>302.35140000000001</v>
      </c>
      <c r="R52" s="344">
        <f>IF(R46&lt;&gt;"[leeg]",IF('Loonkosten uitgebreid'!AS$95/'Loonkosten uitgebreid'!U$84&lt;'Tabellen PO-Raad'!$E$8,0,(+'Loonkosten uitgebreid'!AS$95-'Tabellen PO-Raad'!$E$8*'Loonkosten uitgebreid'!U$84)/12*'Tabellen PO-Raad'!$D$8),0)</f>
        <v>323.36442</v>
      </c>
      <c r="S52" s="344">
        <f>IF(S46&lt;&gt;"[leeg]",IF('Loonkosten uitgebreid'!AT$95/'Loonkosten uitgebreid'!V$84&lt;'Tabellen PO-Raad'!$E$8,0,(+'Loonkosten uitgebreid'!AT$95-'Tabellen PO-Raad'!$E$8*'Loonkosten uitgebreid'!V$84)/12*'Tabellen PO-Raad'!$D$8),0)</f>
        <v>346.63815000000005</v>
      </c>
      <c r="T52" s="344">
        <f>IF(T46&lt;&gt;"[leeg]",IF('Loonkosten uitgebreid'!AU$95/'Loonkosten uitgebreid'!W$84&lt;'Tabellen PO-Raad'!$E$8,0,(+'Loonkosten uitgebreid'!AU$95-'Tabellen PO-Raad'!$E$8*'Loonkosten uitgebreid'!W$84)/12*'Tabellen PO-Raad'!$D$8),0)</f>
        <v>372.36212999999998</v>
      </c>
      <c r="U52" s="344">
        <f>IF(U46&lt;&gt;"[leeg]",IF('Loonkosten uitgebreid'!AV$95/'Loonkosten uitgebreid'!X$84&lt;'Tabellen PO-Raad'!$E$8,0,(+'Loonkosten uitgebreid'!AV$95-'Tabellen PO-Raad'!$E$8*'Loonkosten uitgebreid'!X$84)/12*'Tabellen PO-Raad'!$D$8),0)</f>
        <v>0</v>
      </c>
      <c r="V52" s="344">
        <f>IF(V46&lt;&gt;"[leeg]",IF('Loonkosten uitgebreid'!AW$95/'Loonkosten uitgebreid'!Y$84&lt;'Tabellen PO-Raad'!$E$8,0,(+'Loonkosten uitgebreid'!AW$95-'Tabellen PO-Raad'!$E$8*'Loonkosten uitgebreid'!Y$84)/12*'Tabellen PO-Raad'!$D$8),0)</f>
        <v>0</v>
      </c>
      <c r="W52" s="344">
        <f>IF(W46&lt;&gt;"[leeg]",IF('Loonkosten uitgebreid'!AX$95/'Loonkosten uitgebreid'!Z$84&lt;'Tabellen PO-Raad'!$E$8,0,(+'Loonkosten uitgebreid'!AX$95-'Tabellen PO-Raad'!$E$8*'Loonkosten uitgebreid'!Z$84)/12*'Tabellen PO-Raad'!$D$8),0)</f>
        <v>0</v>
      </c>
      <c r="X52" s="344">
        <f>IF(X46&lt;&gt;"[leeg]",IF('Loonkosten uitgebreid'!AY$95/'Loonkosten uitgebreid'!AA$84&lt;'Tabellen PO-Raad'!$E$8,0,(+'Loonkosten uitgebreid'!AY$95-'Tabellen PO-Raad'!$E$8*'Loonkosten uitgebreid'!AA$84)/12*'Tabellen PO-Raad'!$D$8),0)</f>
        <v>0</v>
      </c>
      <c r="Y52" s="334"/>
      <c r="Z52" s="344">
        <f>D52*12</f>
        <v>1814.1084000000001</v>
      </c>
      <c r="AA52" s="344">
        <f t="shared" ref="AA52:AI54" si="35">E52*12</f>
        <v>1814.1084000000001</v>
      </c>
      <c r="AB52" s="344">
        <f t="shared" si="35"/>
        <v>1940.18652</v>
      </c>
      <c r="AC52" s="344">
        <f t="shared" si="35"/>
        <v>2079.83376</v>
      </c>
      <c r="AD52" s="344">
        <f t="shared" si="35"/>
        <v>2234.1776400000003</v>
      </c>
      <c r="AE52" s="344">
        <f t="shared" si="35"/>
        <v>2234.1776400000003</v>
      </c>
      <c r="AF52" s="344">
        <f t="shared" si="35"/>
        <v>0</v>
      </c>
      <c r="AG52" s="344">
        <f t="shared" si="35"/>
        <v>0</v>
      </c>
      <c r="AH52" s="344">
        <f t="shared" si="35"/>
        <v>0</v>
      </c>
      <c r="AI52" s="344">
        <f t="shared" si="35"/>
        <v>0</v>
      </c>
      <c r="AJ52" s="334"/>
      <c r="AK52" s="344">
        <f>O52*12</f>
        <v>3628.2168000000001</v>
      </c>
      <c r="AL52" s="344">
        <f t="shared" ref="AL52:AT54" si="36">P52*12</f>
        <v>3880.3730399999999</v>
      </c>
      <c r="AM52" s="344">
        <f t="shared" si="36"/>
        <v>3628.2168000000001</v>
      </c>
      <c r="AN52" s="344">
        <f t="shared" si="36"/>
        <v>3880.3730399999999</v>
      </c>
      <c r="AO52" s="344">
        <f t="shared" si="36"/>
        <v>4159.6578000000009</v>
      </c>
      <c r="AP52" s="344">
        <f t="shared" si="36"/>
        <v>4468.3455599999998</v>
      </c>
      <c r="AQ52" s="344">
        <f t="shared" si="36"/>
        <v>0</v>
      </c>
      <c r="AR52" s="344">
        <f t="shared" si="36"/>
        <v>0</v>
      </c>
      <c r="AS52" s="344">
        <f t="shared" si="36"/>
        <v>0</v>
      </c>
      <c r="AT52" s="344">
        <f t="shared" si="36"/>
        <v>0</v>
      </c>
    </row>
    <row r="53" spans="2:46" ht="16.5" thickTop="1" thickBot="1" x14ac:dyDescent="0.3">
      <c r="B53" s="337"/>
      <c r="C53" s="95" t="s">
        <v>29</v>
      </c>
      <c r="D53" s="344">
        <f>IF('Loonkosten uitgebreid'!AF$95/'Loonkosten uitgebreid'!H$84&lt;'Tabellen PO-Raad'!$E$9,0,(+'Loonkosten uitgebreid'!AF$95-'Tabellen PO-Raad'!$E$9*'Loonkosten uitgebreid'!H$84)/12*'Tabellen PO-Raad'!$D$9)</f>
        <v>3.9310650000000003</v>
      </c>
      <c r="E53" s="344">
        <f>IF(E$46&lt;&gt;"[leeg]",IF('Loonkosten uitgebreid'!AF$95/'Loonkosten uitgebreid'!H$84&lt;'Tabellen PO-Raad'!$E$9,0,(+'Loonkosten uitgebreid'!AF$95-'Tabellen PO-Raad'!$E$9*'Loonkosten uitgebreid'!H$84)/12*'Tabellen PO-Raad'!$D$9),0)</f>
        <v>3.9310650000000003</v>
      </c>
      <c r="F53" s="344">
        <f>IF(F$46&lt;&gt;"[leeg]",IF('Loonkosten uitgebreid'!AG$95/'Loonkosten uitgebreid'!I$84&lt;'Tabellen PO-Raad'!$E$9,0,(+'Loonkosten uitgebreid'!AG$95-'Tabellen PO-Raad'!$E$9*'Loonkosten uitgebreid'!I$84)/12*'Tabellen PO-Raad'!$D$9),0)</f>
        <v>4.281282</v>
      </c>
      <c r="G53" s="344">
        <f>IF(G$46&lt;&gt;"[leeg]",IF('Loonkosten uitgebreid'!AH$95/'Loonkosten uitgebreid'!J$84&lt;'Tabellen PO-Raad'!$E$9,0,(+'Loonkosten uitgebreid'!AH$95-'Tabellen PO-Raad'!$E$9*'Loonkosten uitgebreid'!J$84)/12*'Tabellen PO-Raad'!$D$9),0)</f>
        <v>4.6691909999999996</v>
      </c>
      <c r="H53" s="344">
        <f>IF(H$46&lt;&gt;"[leeg]",IF('Loonkosten uitgebreid'!AI$95/'Loonkosten uitgebreid'!K$84&lt;'Tabellen PO-Raad'!$E$9,0,(+'Loonkosten uitgebreid'!AI$95-'Tabellen PO-Raad'!$E$9*'Loonkosten uitgebreid'!K$84)/12*'Tabellen PO-Raad'!$D$9),0)</f>
        <v>5.0979240000000008</v>
      </c>
      <c r="I53" s="344">
        <f>IF(I$46&lt;&gt;"[leeg]",IF('Loonkosten uitgebreid'!AJ$95/'Loonkosten uitgebreid'!L$84&lt;'Tabellen PO-Raad'!$E$9,0,(+'Loonkosten uitgebreid'!AJ$95-'Tabellen PO-Raad'!$E$9*'Loonkosten uitgebreid'!L$84)/12*'Tabellen PO-Raad'!$D$9),0)</f>
        <v>5.0979240000000008</v>
      </c>
      <c r="J53" s="344">
        <f>IF(J$46&lt;&gt;"[leeg]",IF('Loonkosten uitgebreid'!AK$95/'Loonkosten uitgebreid'!M$84&lt;'Tabellen PO-Raad'!$E$9,0,(+'Loonkosten uitgebreid'!AK$95-'Tabellen PO-Raad'!$E$9*'Loonkosten uitgebreid'!M$84)/12*'Tabellen PO-Raad'!$D$9),0)</f>
        <v>0</v>
      </c>
      <c r="K53" s="344">
        <f>IF(K$46&lt;&gt;"[leeg]",IF('Loonkosten uitgebreid'!AL$95/'Loonkosten uitgebreid'!N$84&lt;'Tabellen PO-Raad'!$E$9,0,(+'Loonkosten uitgebreid'!AL$95-'Tabellen PO-Raad'!$E$9*'Loonkosten uitgebreid'!N$84)/12*'Tabellen PO-Raad'!$D$9),0)</f>
        <v>0</v>
      </c>
      <c r="L53" s="344">
        <f>IF(L$46&lt;&gt;"[leeg]",IF('Loonkosten uitgebreid'!AM$95/'Loonkosten uitgebreid'!O$84&lt;'Tabellen PO-Raad'!$E$9,0,(+'Loonkosten uitgebreid'!AM$95-'Tabellen PO-Raad'!$E$9*'Loonkosten uitgebreid'!O$84)/12*'Tabellen PO-Raad'!$D$9),0)</f>
        <v>0</v>
      </c>
      <c r="M53" s="344">
        <f>IF(M$46&lt;&gt;"[leeg]",IF('Loonkosten uitgebreid'!AN$95/'Loonkosten uitgebreid'!P$84&lt;'Tabellen PO-Raad'!$E$9,0,(+'Loonkosten uitgebreid'!AN$95-'Tabellen PO-Raad'!$E$9*'Loonkosten uitgebreid'!P$84)/12*'Tabellen PO-Raad'!$D$9),0)</f>
        <v>0</v>
      </c>
      <c r="N53" s="334"/>
      <c r="O53" s="344">
        <f>IF('Loonkosten uitgebreid'!AR$95/'Loonkosten uitgebreid'!T$84&lt;'Tabellen PO-Raad'!$E$9,0,(+'Loonkosten uitgebreid'!AR$95-'Tabellen PO-Raad'!$E$9*'Loonkosten uitgebreid'!T$84)/12*'Tabellen PO-Raad'!$D$9)</f>
        <v>7.8621300000000005</v>
      </c>
      <c r="P53" s="344">
        <f>IF(P46&lt;&gt;"[leeg]",IF('Loonkosten uitgebreid'!AS$95/'Loonkosten uitgebreid'!U$84&lt;'Tabellen PO-Raad'!$E$9,0,(+'Loonkosten uitgebreid'!AS$95-'Tabellen PO-Raad'!$E$9*'Loonkosten uitgebreid'!U$84)/12*'Tabellen PO-Raad'!$D$9),0)</f>
        <v>8.5625640000000001</v>
      </c>
      <c r="Q53" s="344">
        <f>IF(Q$46&lt;&gt;"[leeg]",IF('Loonkosten uitgebreid'!AR$95/'Loonkosten uitgebreid'!T$84&lt;'Tabellen PO-Raad'!$E$9,0,(+'Loonkosten uitgebreid'!AR$95-'Tabellen PO-Raad'!$E$9*'Loonkosten uitgebreid'!T$84)/12*'Tabellen PO-Raad'!$D$9),0)</f>
        <v>7.8621300000000005</v>
      </c>
      <c r="R53" s="344">
        <f>IF(R$46&lt;&gt;"[leeg]",IF('Loonkosten uitgebreid'!AS$95/'Loonkosten uitgebreid'!U$84&lt;'Tabellen PO-Raad'!$E$9,0,(+'Loonkosten uitgebreid'!AS$95-'Tabellen PO-Raad'!$E$9*'Loonkosten uitgebreid'!U$84)/12*'Tabellen PO-Raad'!$D$9),0)</f>
        <v>8.5625640000000001</v>
      </c>
      <c r="S53" s="344">
        <f>IF(S$46&lt;&gt;"[leeg]",IF('Loonkosten uitgebreid'!AT$95/'Loonkosten uitgebreid'!V$84&lt;'Tabellen PO-Raad'!$E$9,0,(+'Loonkosten uitgebreid'!AT$95-'Tabellen PO-Raad'!$E$9*'Loonkosten uitgebreid'!V$84)/12*'Tabellen PO-Raad'!$D$9),0)</f>
        <v>9.338355</v>
      </c>
      <c r="T53" s="344">
        <f>IF(T$46&lt;&gt;"[leeg]",IF('Loonkosten uitgebreid'!AU$95/'Loonkosten uitgebreid'!W$84&lt;'Tabellen PO-Raad'!$E$9,0,(+'Loonkosten uitgebreid'!AU$95-'Tabellen PO-Raad'!$E$9*'Loonkosten uitgebreid'!W$84)/12*'Tabellen PO-Raad'!$D$9),0)</f>
        <v>10.195820999999999</v>
      </c>
      <c r="U53" s="344">
        <f>IF(U$46&lt;&gt;"[leeg]",IF('Loonkosten uitgebreid'!AV$95/'Loonkosten uitgebreid'!X$84&lt;'Tabellen PO-Raad'!$E$9,0,(+'Loonkosten uitgebreid'!AV$95-'Tabellen PO-Raad'!$E$9*'Loonkosten uitgebreid'!X$84)/12*'Tabellen PO-Raad'!$D$9),0)</f>
        <v>0</v>
      </c>
      <c r="V53" s="344">
        <f>IF(V$46&lt;&gt;"[leeg]",IF('Loonkosten uitgebreid'!AW$95/'Loonkosten uitgebreid'!Y$84&lt;'Tabellen PO-Raad'!$E$9,0,(+'Loonkosten uitgebreid'!AW$95-'Tabellen PO-Raad'!$E$9*'Loonkosten uitgebreid'!Y$84)/12*'Tabellen PO-Raad'!$D$9),0)</f>
        <v>0</v>
      </c>
      <c r="W53" s="344">
        <f>IF(W$46&lt;&gt;"[leeg]",IF('Loonkosten uitgebreid'!AX$95/'Loonkosten uitgebreid'!Z$84&lt;'Tabellen PO-Raad'!$E$9,0,(+'Loonkosten uitgebreid'!AX$95-'Tabellen PO-Raad'!$E$9*'Loonkosten uitgebreid'!Z$84)/12*'Tabellen PO-Raad'!$D$9),0)</f>
        <v>0</v>
      </c>
      <c r="X53" s="344">
        <f>IF(X$46&lt;&gt;"[leeg]",IF('Loonkosten uitgebreid'!AY$95/'Loonkosten uitgebreid'!AA$84&lt;'Tabellen PO-Raad'!$E$9,0,(+'Loonkosten uitgebreid'!AY$95-'Tabellen PO-Raad'!$E$9*'Loonkosten uitgebreid'!AA$84)/12*'Tabellen PO-Raad'!$D$9),0)</f>
        <v>0</v>
      </c>
      <c r="Y53" s="334"/>
      <c r="Z53" s="344">
        <f t="shared" ref="Z53:Z54" si="37">D53*12</f>
        <v>47.172780000000003</v>
      </c>
      <c r="AA53" s="344">
        <f t="shared" si="35"/>
        <v>47.172780000000003</v>
      </c>
      <c r="AB53" s="344">
        <f t="shared" si="35"/>
        <v>51.375383999999997</v>
      </c>
      <c r="AC53" s="344">
        <f t="shared" si="35"/>
        <v>56.030291999999996</v>
      </c>
      <c r="AD53" s="344">
        <f t="shared" si="35"/>
        <v>61.175088000000009</v>
      </c>
      <c r="AE53" s="344">
        <f t="shared" si="35"/>
        <v>61.175088000000009</v>
      </c>
      <c r="AF53" s="344">
        <f t="shared" si="35"/>
        <v>0</v>
      </c>
      <c r="AG53" s="344">
        <f t="shared" si="35"/>
        <v>0</v>
      </c>
      <c r="AH53" s="344">
        <f t="shared" si="35"/>
        <v>0</v>
      </c>
      <c r="AI53" s="344">
        <f t="shared" si="35"/>
        <v>0</v>
      </c>
      <c r="AJ53" s="334"/>
      <c r="AK53" s="344">
        <f>O53*12</f>
        <v>94.345560000000006</v>
      </c>
      <c r="AL53" s="344">
        <f t="shared" si="36"/>
        <v>102.75076799999999</v>
      </c>
      <c r="AM53" s="344">
        <f t="shared" si="36"/>
        <v>94.345560000000006</v>
      </c>
      <c r="AN53" s="344">
        <f t="shared" si="36"/>
        <v>102.75076799999999</v>
      </c>
      <c r="AO53" s="344">
        <f t="shared" si="36"/>
        <v>112.06026</v>
      </c>
      <c r="AP53" s="344">
        <f t="shared" si="36"/>
        <v>122.34985199999998</v>
      </c>
      <c r="AQ53" s="344">
        <f t="shared" si="36"/>
        <v>0</v>
      </c>
      <c r="AR53" s="344">
        <f t="shared" si="36"/>
        <v>0</v>
      </c>
      <c r="AS53" s="344">
        <f t="shared" si="36"/>
        <v>0</v>
      </c>
      <c r="AT53" s="344">
        <f t="shared" si="36"/>
        <v>0</v>
      </c>
    </row>
    <row r="54" spans="2:46" ht="16.5" thickTop="1" thickBot="1" x14ac:dyDescent="0.3">
      <c r="B54" s="337"/>
      <c r="C54" s="95" t="s">
        <v>37</v>
      </c>
      <c r="D54" s="344">
        <f>'Loonkosten uitgebreid'!AF$95/12*'Tabellen PO-Raad'!$D$10</f>
        <v>0</v>
      </c>
      <c r="E54" s="344">
        <f>IF(E$46&lt;&gt;"[leeg]",'Loonkosten uitgebreid'!AG$95/12*'Loonkosten uitgebreid'!AF$95/12*'Tabellen PO-Raad'!$D$10,0)</f>
        <v>0</v>
      </c>
      <c r="F54" s="344">
        <f>IF(F$46&lt;&gt;"[leeg]",'Loonkosten uitgebreid'!AH$95/12*'Loonkosten uitgebreid'!AG$95/12*'Tabellen PO-Raad'!$D$10,0)</f>
        <v>0</v>
      </c>
      <c r="G54" s="344">
        <f>IF(G$46&lt;&gt;"[leeg]",'Loonkosten uitgebreid'!AI$95/12*'Loonkosten uitgebreid'!AH$95/12*'Tabellen PO-Raad'!$D$10,0)</f>
        <v>0</v>
      </c>
      <c r="H54" s="344">
        <f>IF(H$46&lt;&gt;"[leeg]",'Loonkosten uitgebreid'!AJ$95/12*'Loonkosten uitgebreid'!AI$95/12*'Tabellen PO-Raad'!$D$10,0)</f>
        <v>0</v>
      </c>
      <c r="I54" s="344">
        <f>IF(I$46&lt;&gt;"[leeg]",'Loonkosten uitgebreid'!AK$95/12*'Loonkosten uitgebreid'!AJ$95/12*'Tabellen PO-Raad'!$D$10,0)</f>
        <v>0</v>
      </c>
      <c r="J54" s="344">
        <f>IF(J$46&lt;&gt;"[leeg]",'Loonkosten uitgebreid'!AL$95/12*'Loonkosten uitgebreid'!AK$95/12*'Tabellen PO-Raad'!$D$10,0)</f>
        <v>0</v>
      </c>
      <c r="K54" s="344">
        <f>IF(K$46&lt;&gt;"[leeg]",'Loonkosten uitgebreid'!AM$95/12*'Loonkosten uitgebreid'!AL$95/12*'Tabellen PO-Raad'!$D$10,0)</f>
        <v>0</v>
      </c>
      <c r="L54" s="344">
        <f>IF(L$46&lt;&gt;"[leeg]",'Loonkosten uitgebreid'!AN$95/12*'Loonkosten uitgebreid'!AM$95/12*'Tabellen PO-Raad'!$D$10,0)</f>
        <v>0</v>
      </c>
      <c r="M54" s="344">
        <f>IF(M$46&lt;&gt;"[leeg]",'Loonkosten uitgebreid'!AO$95/12*'Loonkosten uitgebreid'!AN$95/12*'Tabellen PO-Raad'!$D$10,0)</f>
        <v>0</v>
      </c>
      <c r="N54" s="334"/>
      <c r="O54" s="344">
        <f>'Loonkosten uitgebreid'!AR$95/12*'Tabellen PO-Raad'!$D$10</f>
        <v>0</v>
      </c>
      <c r="P54" s="344">
        <f>IF(P46&lt;&gt;"[leeg]",'Loonkosten uitgebreid'!AS$95/12*'Tabellen PO-Raad'!$D$10,0)</f>
        <v>0</v>
      </c>
      <c r="Q54" s="344">
        <f>IF(Q$46&lt;&gt;"[leeg]",'Loonkosten uitgebreid'!AS$95/12*'Loonkosten uitgebreid'!AR$95/12*'Tabellen PO-Raad'!$D$10,0)</f>
        <v>0</v>
      </c>
      <c r="R54" s="344">
        <f>IF(R$46&lt;&gt;"[leeg]",'Loonkosten uitgebreid'!AT$95/12*'Loonkosten uitgebreid'!AS$95/12*'Tabellen PO-Raad'!$D$10,0)</f>
        <v>0</v>
      </c>
      <c r="S54" s="344">
        <f>IF(S$46&lt;&gt;"[leeg]",'Loonkosten uitgebreid'!AU$95/12*'Loonkosten uitgebreid'!AT$95/12*'Tabellen PO-Raad'!$D$10,0)</f>
        <v>0</v>
      </c>
      <c r="T54" s="344">
        <f>IF(T$46&lt;&gt;"[leeg]",'Loonkosten uitgebreid'!AV$95/12*'Loonkosten uitgebreid'!AU$95/12*'Tabellen PO-Raad'!$D$10,0)</f>
        <v>0</v>
      </c>
      <c r="U54" s="344">
        <f>IF(U$46&lt;&gt;"[leeg]",'Loonkosten uitgebreid'!AW$95/12*'Loonkosten uitgebreid'!AV$95/12*'Tabellen PO-Raad'!$D$10,0)</f>
        <v>0</v>
      </c>
      <c r="V54" s="344">
        <f>IF(V$46&lt;&gt;"[leeg]",'Loonkosten uitgebreid'!AX$95/12*'Loonkosten uitgebreid'!AW$95/12*'Tabellen PO-Raad'!$D$10,0)</f>
        <v>0</v>
      </c>
      <c r="W54" s="344">
        <f>IF(W$46&lt;&gt;"[leeg]",'Loonkosten uitgebreid'!AY$95/12*'Loonkosten uitgebreid'!AX$95/12*'Tabellen PO-Raad'!$D$10,0)</f>
        <v>0</v>
      </c>
      <c r="X54" s="344">
        <f>IF(X$46&lt;&gt;"[leeg]",'Loonkosten uitgebreid'!AZ$95/12*'Loonkosten uitgebreid'!AY$95/12*'Tabellen PO-Raad'!$D$10,0)</f>
        <v>0</v>
      </c>
      <c r="Y54" s="334"/>
      <c r="Z54" s="344">
        <f t="shared" si="37"/>
        <v>0</v>
      </c>
      <c r="AA54" s="344">
        <f t="shared" si="35"/>
        <v>0</v>
      </c>
      <c r="AB54" s="344">
        <f t="shared" si="35"/>
        <v>0</v>
      </c>
      <c r="AC54" s="344">
        <f t="shared" si="35"/>
        <v>0</v>
      </c>
      <c r="AD54" s="344">
        <f t="shared" si="35"/>
        <v>0</v>
      </c>
      <c r="AE54" s="344">
        <f t="shared" si="35"/>
        <v>0</v>
      </c>
      <c r="AF54" s="344">
        <f t="shared" si="35"/>
        <v>0</v>
      </c>
      <c r="AG54" s="344">
        <f t="shared" si="35"/>
        <v>0</v>
      </c>
      <c r="AH54" s="344">
        <f t="shared" si="35"/>
        <v>0</v>
      </c>
      <c r="AI54" s="344">
        <f t="shared" si="35"/>
        <v>0</v>
      </c>
      <c r="AJ54" s="334"/>
      <c r="AK54" s="344">
        <f>O54*12</f>
        <v>0</v>
      </c>
      <c r="AL54" s="344">
        <f t="shared" si="36"/>
        <v>0</v>
      </c>
      <c r="AM54" s="344">
        <f t="shared" si="36"/>
        <v>0</v>
      </c>
      <c r="AN54" s="344">
        <f t="shared" si="36"/>
        <v>0</v>
      </c>
      <c r="AO54" s="344">
        <f t="shared" si="36"/>
        <v>0</v>
      </c>
      <c r="AP54" s="344">
        <f t="shared" si="36"/>
        <v>0</v>
      </c>
      <c r="AQ54" s="344">
        <f t="shared" si="36"/>
        <v>0</v>
      </c>
      <c r="AR54" s="344">
        <f t="shared" si="36"/>
        <v>0</v>
      </c>
      <c r="AS54" s="344">
        <f t="shared" si="36"/>
        <v>0</v>
      </c>
      <c r="AT54" s="344">
        <f t="shared" si="36"/>
        <v>0</v>
      </c>
    </row>
    <row r="55" spans="2:46" s="339" customFormat="1" ht="16.5" thickTop="1" thickBot="1" x14ac:dyDescent="0.3">
      <c r="B55" s="337"/>
      <c r="C55" s="335" t="s">
        <v>54</v>
      </c>
      <c r="D55" s="345">
        <f>SUM(D52:D54)</f>
        <v>155.106765</v>
      </c>
      <c r="E55" s="345">
        <f>SUM(E52:E54)</f>
        <v>155.106765</v>
      </c>
      <c r="F55" s="345">
        <f t="shared" ref="F55:M55" si="38">SUM(F52:F54)</f>
        <v>165.963492</v>
      </c>
      <c r="G55" s="345">
        <f t="shared" si="38"/>
        <v>177.98867100000001</v>
      </c>
      <c r="H55" s="345">
        <f t="shared" si="38"/>
        <v>191.27939400000002</v>
      </c>
      <c r="I55" s="345">
        <f t="shared" si="38"/>
        <v>191.27939400000002</v>
      </c>
      <c r="J55" s="345">
        <f t="shared" si="38"/>
        <v>0</v>
      </c>
      <c r="K55" s="345">
        <f t="shared" si="38"/>
        <v>0</v>
      </c>
      <c r="L55" s="345">
        <f t="shared" si="38"/>
        <v>0</v>
      </c>
      <c r="M55" s="345">
        <f t="shared" si="38"/>
        <v>0</v>
      </c>
      <c r="N55" s="338"/>
      <c r="O55" s="345">
        <f>SUM(O52:O54)</f>
        <v>310.21352999999999</v>
      </c>
      <c r="P55" s="345">
        <f>SUM(P52:P54)</f>
        <v>331.926984</v>
      </c>
      <c r="Q55" s="345">
        <f t="shared" ref="Q55:X55" si="39">SUM(Q52:Q54)</f>
        <v>310.21352999999999</v>
      </c>
      <c r="R55" s="345">
        <f t="shared" si="39"/>
        <v>331.926984</v>
      </c>
      <c r="S55" s="345">
        <f t="shared" si="39"/>
        <v>355.97650500000003</v>
      </c>
      <c r="T55" s="345">
        <f t="shared" si="39"/>
        <v>382.557951</v>
      </c>
      <c r="U55" s="345">
        <f t="shared" si="39"/>
        <v>0</v>
      </c>
      <c r="V55" s="345">
        <f t="shared" si="39"/>
        <v>0</v>
      </c>
      <c r="W55" s="345">
        <f t="shared" si="39"/>
        <v>0</v>
      </c>
      <c r="X55" s="345">
        <f t="shared" si="39"/>
        <v>0</v>
      </c>
      <c r="Y55" s="338"/>
      <c r="Z55" s="345">
        <f>SUM(Z52:Z54)</f>
        <v>1861.2811800000002</v>
      </c>
      <c r="AA55" s="345">
        <f>SUM(AA52:AA54)</f>
        <v>1861.2811800000002</v>
      </c>
      <c r="AB55" s="345">
        <f t="shared" ref="AB55:AI55" si="40">SUM(AB52:AB54)</f>
        <v>1991.5619039999999</v>
      </c>
      <c r="AC55" s="345">
        <f t="shared" si="40"/>
        <v>2135.8640519999999</v>
      </c>
      <c r="AD55" s="345">
        <f t="shared" si="40"/>
        <v>2295.3527280000003</v>
      </c>
      <c r="AE55" s="345">
        <f t="shared" si="40"/>
        <v>2295.3527280000003</v>
      </c>
      <c r="AF55" s="345">
        <f t="shared" si="40"/>
        <v>0</v>
      </c>
      <c r="AG55" s="345">
        <f t="shared" si="40"/>
        <v>0</v>
      </c>
      <c r="AH55" s="345">
        <f t="shared" si="40"/>
        <v>0</v>
      </c>
      <c r="AI55" s="345">
        <f t="shared" si="40"/>
        <v>0</v>
      </c>
      <c r="AJ55" s="338"/>
      <c r="AK55" s="345">
        <f>SUM(AK52:AK54)</f>
        <v>3722.5623600000004</v>
      </c>
      <c r="AL55" s="345">
        <f t="shared" ref="AL55:AT55" si="41">SUM(AL52:AL54)</f>
        <v>3983.1238079999998</v>
      </c>
      <c r="AM55" s="345">
        <f t="shared" si="41"/>
        <v>3722.5623600000004</v>
      </c>
      <c r="AN55" s="345">
        <f t="shared" si="41"/>
        <v>3983.1238079999998</v>
      </c>
      <c r="AO55" s="345">
        <f t="shared" si="41"/>
        <v>4271.7180600000011</v>
      </c>
      <c r="AP55" s="345">
        <f t="shared" si="41"/>
        <v>4590.695412</v>
      </c>
      <c r="AQ55" s="345">
        <f t="shared" si="41"/>
        <v>0</v>
      </c>
      <c r="AR55" s="345">
        <f t="shared" si="41"/>
        <v>0</v>
      </c>
      <c r="AS55" s="345">
        <f t="shared" si="41"/>
        <v>0</v>
      </c>
      <c r="AT55" s="345">
        <f t="shared" si="41"/>
        <v>0</v>
      </c>
    </row>
    <row r="56" spans="2:46" ht="16.5" thickTop="1" thickBot="1" x14ac:dyDescent="0.3">
      <c r="B56" s="337"/>
      <c r="C56" s="95" t="s">
        <v>85</v>
      </c>
      <c r="D56" s="344">
        <f>'Loonkosten uitgebreid'!H94</f>
        <v>2637.2</v>
      </c>
      <c r="E56" s="344">
        <f>IF(E$46&lt;&gt;"[leeg]",'Loonkosten uitgebreid'!I94,0)</f>
        <v>2766.91</v>
      </c>
      <c r="F56" s="344">
        <f>IF(F$46&lt;&gt;"[leeg]",'Loonkosten uitgebreid'!J94,0)</f>
        <v>2910.58</v>
      </c>
      <c r="G56" s="344">
        <f>IF(G$46&lt;&gt;"[leeg]",'Loonkosten uitgebreid'!K94,0)</f>
        <v>3069.37</v>
      </c>
      <c r="H56" s="344">
        <f>IF(H$46&lt;&gt;"[leeg]",'Loonkosten uitgebreid'!L94,0)</f>
        <v>3069.37</v>
      </c>
      <c r="I56" s="344">
        <f>IF(I$46&lt;&gt;"[leeg]",'Loonkosten uitgebreid'!M94,0)</f>
        <v>3069.37</v>
      </c>
      <c r="J56" s="344">
        <f>IF(J$46&lt;&gt;"[leeg]",'Loonkosten uitgebreid'!N94,0)</f>
        <v>0</v>
      </c>
      <c r="K56" s="344">
        <f>IF(K$46&lt;&gt;"[leeg]",'Loonkosten uitgebreid'!O94,0)</f>
        <v>0</v>
      </c>
      <c r="L56" s="344">
        <f>IF(L$46&lt;&gt;"[leeg]",'Loonkosten uitgebreid'!P94,0)</f>
        <v>0</v>
      </c>
      <c r="M56" s="344">
        <f>IF(M$46&lt;&gt;"[leeg]",'Loonkosten uitgebreid'!Q94,0)</f>
        <v>0</v>
      </c>
      <c r="N56" s="334"/>
      <c r="O56" s="344">
        <f>'Loonkosten uitgebreid'!T94</f>
        <v>5274.4</v>
      </c>
      <c r="P56" s="344">
        <f>IF(P$46&lt;&gt;"[leeg]",'Loonkosten uitgebreid'!T94,0)</f>
        <v>5274.4</v>
      </c>
      <c r="Q56" s="344">
        <f>IF(Q$46&lt;&gt;"[leeg]",'Loonkosten uitgebreid'!U94,0)</f>
        <v>5533.82</v>
      </c>
      <c r="R56" s="344">
        <f>IF(R$46&lt;&gt;"[leeg]",'Loonkosten uitgebreid'!V94,0)</f>
        <v>5821.15</v>
      </c>
      <c r="S56" s="344">
        <f>IF(S$46&lt;&gt;"[leeg]",'Loonkosten uitgebreid'!W94,0)</f>
        <v>6138.73</v>
      </c>
      <c r="T56" s="344">
        <f>IF(T$46&lt;&gt;"[leeg]",'Loonkosten uitgebreid'!X94,0)</f>
        <v>6138.73</v>
      </c>
      <c r="U56" s="344">
        <f>IF(U$46&lt;&gt;"[leeg]",'Loonkosten uitgebreid'!Y94,0)</f>
        <v>0</v>
      </c>
      <c r="V56" s="344">
        <f>IF(V$46&lt;&gt;"[leeg]",'Loonkosten uitgebreid'!Z94,0)</f>
        <v>0</v>
      </c>
      <c r="W56" s="344">
        <f>IF(W$46&lt;&gt;"[leeg]",'Loonkosten uitgebreid'!AA94,0)</f>
        <v>0</v>
      </c>
      <c r="X56" s="344">
        <f>IF(X$46&lt;&gt;"[leeg]",'Loonkosten uitgebreid'!AB94,0)</f>
        <v>0</v>
      </c>
      <c r="Y56" s="334"/>
      <c r="Z56" s="344">
        <f>'Loonkosten uitgebreid'!AF94</f>
        <v>31646.400000000001</v>
      </c>
      <c r="AA56" s="344">
        <f>'Loonkosten uitgebreid'!AG94</f>
        <v>33202.92</v>
      </c>
      <c r="AB56" s="344">
        <f>'Loonkosten uitgebreid'!AH94</f>
        <v>34926.959999999999</v>
      </c>
      <c r="AC56" s="344">
        <f>'Loonkosten uitgebreid'!AI94</f>
        <v>36832.44</v>
      </c>
      <c r="AD56" s="344">
        <f>'Loonkosten uitgebreid'!AJ94</f>
        <v>36832.44</v>
      </c>
      <c r="AE56" s="344">
        <f>'Loonkosten uitgebreid'!AK94</f>
        <v>36832.44</v>
      </c>
      <c r="AF56" s="344">
        <f>'Loonkosten uitgebreid'!AL94</f>
        <v>0</v>
      </c>
      <c r="AG56" s="344">
        <f>'Loonkosten uitgebreid'!AM94</f>
        <v>0</v>
      </c>
      <c r="AH56" s="344">
        <f>'Loonkosten uitgebreid'!AN94</f>
        <v>0</v>
      </c>
      <c r="AI56" s="344">
        <f>'Loonkosten uitgebreid'!AO94</f>
        <v>0</v>
      </c>
      <c r="AJ56" s="334"/>
      <c r="AK56" s="344">
        <f>'Loonkosten uitgebreid'!AR94</f>
        <v>63292.800000000003</v>
      </c>
      <c r="AL56" s="344">
        <f>'Loonkosten uitgebreid'!AS94</f>
        <v>66405.84</v>
      </c>
      <c r="AM56" s="344">
        <f>'Loonkosten uitgebreid'!AT94</f>
        <v>69853.8</v>
      </c>
      <c r="AN56" s="344">
        <f>'Loonkosten uitgebreid'!AU94</f>
        <v>73664.759999999995</v>
      </c>
      <c r="AO56" s="344">
        <f>'Loonkosten uitgebreid'!AV94</f>
        <v>73664.759999999995</v>
      </c>
      <c r="AP56" s="344">
        <f>'Loonkosten uitgebreid'!AW94</f>
        <v>73664.759999999995</v>
      </c>
      <c r="AQ56" s="344">
        <f>'Loonkosten uitgebreid'!AX94</f>
        <v>0</v>
      </c>
      <c r="AR56" s="344">
        <f>'Loonkosten uitgebreid'!AY94</f>
        <v>0</v>
      </c>
      <c r="AS56" s="344">
        <f>'Loonkosten uitgebreid'!AZ94</f>
        <v>0</v>
      </c>
      <c r="AT56" s="344">
        <f>'Loonkosten uitgebreid'!BA94</f>
        <v>0</v>
      </c>
    </row>
    <row r="57" spans="2:46" ht="16.5" thickTop="1" thickBot="1" x14ac:dyDescent="0.3">
      <c r="B57" s="337"/>
      <c r="C57" s="95" t="s">
        <v>55</v>
      </c>
      <c r="D57" s="344">
        <f>D55</f>
        <v>155.106765</v>
      </c>
      <c r="E57" s="344">
        <f t="shared" ref="E57:M57" si="42">E55</f>
        <v>155.106765</v>
      </c>
      <c r="F57" s="344">
        <f t="shared" si="42"/>
        <v>165.963492</v>
      </c>
      <c r="G57" s="344">
        <f t="shared" si="42"/>
        <v>177.98867100000001</v>
      </c>
      <c r="H57" s="344">
        <f t="shared" si="42"/>
        <v>191.27939400000002</v>
      </c>
      <c r="I57" s="344">
        <f t="shared" si="42"/>
        <v>191.27939400000002</v>
      </c>
      <c r="J57" s="344">
        <f t="shared" si="42"/>
        <v>0</v>
      </c>
      <c r="K57" s="344">
        <f t="shared" si="42"/>
        <v>0</v>
      </c>
      <c r="L57" s="344">
        <f t="shared" si="42"/>
        <v>0</v>
      </c>
      <c r="M57" s="344">
        <f t="shared" si="42"/>
        <v>0</v>
      </c>
      <c r="N57" s="334"/>
      <c r="O57" s="344">
        <f t="shared" ref="O57:X57" si="43">O55</f>
        <v>310.21352999999999</v>
      </c>
      <c r="P57" s="344">
        <f t="shared" si="43"/>
        <v>331.926984</v>
      </c>
      <c r="Q57" s="344">
        <f t="shared" si="43"/>
        <v>310.21352999999999</v>
      </c>
      <c r="R57" s="344">
        <f t="shared" si="43"/>
        <v>331.926984</v>
      </c>
      <c r="S57" s="344">
        <f t="shared" si="43"/>
        <v>355.97650500000003</v>
      </c>
      <c r="T57" s="344">
        <f t="shared" si="43"/>
        <v>382.557951</v>
      </c>
      <c r="U57" s="344">
        <f t="shared" si="43"/>
        <v>0</v>
      </c>
      <c r="V57" s="344">
        <f t="shared" si="43"/>
        <v>0</v>
      </c>
      <c r="W57" s="344">
        <f t="shared" si="43"/>
        <v>0</v>
      </c>
      <c r="X57" s="344">
        <f t="shared" si="43"/>
        <v>0</v>
      </c>
      <c r="Y57" s="334"/>
      <c r="Z57" s="344">
        <f t="shared" ref="Z57:AI57" si="44">Z55</f>
        <v>1861.2811800000002</v>
      </c>
      <c r="AA57" s="344">
        <f t="shared" si="44"/>
        <v>1861.2811800000002</v>
      </c>
      <c r="AB57" s="344">
        <f t="shared" si="44"/>
        <v>1991.5619039999999</v>
      </c>
      <c r="AC57" s="344">
        <f t="shared" si="44"/>
        <v>2135.8640519999999</v>
      </c>
      <c r="AD57" s="344">
        <f t="shared" si="44"/>
        <v>2295.3527280000003</v>
      </c>
      <c r="AE57" s="344">
        <f t="shared" si="44"/>
        <v>2295.3527280000003</v>
      </c>
      <c r="AF57" s="344">
        <f t="shared" si="44"/>
        <v>0</v>
      </c>
      <c r="AG57" s="344">
        <f t="shared" si="44"/>
        <v>0</v>
      </c>
      <c r="AH57" s="344">
        <f t="shared" si="44"/>
        <v>0</v>
      </c>
      <c r="AI57" s="344">
        <f t="shared" si="44"/>
        <v>0</v>
      </c>
      <c r="AJ57" s="334"/>
      <c r="AK57" s="344">
        <f t="shared" ref="AK57:AT57" si="45">AK55</f>
        <v>3722.5623600000004</v>
      </c>
      <c r="AL57" s="344">
        <f t="shared" si="45"/>
        <v>3983.1238079999998</v>
      </c>
      <c r="AM57" s="344">
        <f t="shared" si="45"/>
        <v>3722.5623600000004</v>
      </c>
      <c r="AN57" s="344">
        <f t="shared" si="45"/>
        <v>3983.1238079999998</v>
      </c>
      <c r="AO57" s="344">
        <f t="shared" si="45"/>
        <v>4271.7180600000011</v>
      </c>
      <c r="AP57" s="344">
        <f t="shared" si="45"/>
        <v>4590.695412</v>
      </c>
      <c r="AQ57" s="344">
        <f t="shared" si="45"/>
        <v>0</v>
      </c>
      <c r="AR57" s="344">
        <f t="shared" si="45"/>
        <v>0</v>
      </c>
      <c r="AS57" s="344">
        <f t="shared" si="45"/>
        <v>0</v>
      </c>
      <c r="AT57" s="344">
        <f t="shared" si="45"/>
        <v>0</v>
      </c>
    </row>
    <row r="58" spans="2:46" ht="16.5" thickTop="1" thickBot="1" x14ac:dyDescent="0.3">
      <c r="B58" s="337"/>
      <c r="C58" s="41" t="s">
        <v>43</v>
      </c>
      <c r="D58" s="344">
        <f>D56-D57</f>
        <v>2482.0932349999998</v>
      </c>
      <c r="E58" s="344">
        <f>E56-E57</f>
        <v>2611.8032349999999</v>
      </c>
      <c r="F58" s="344">
        <f t="shared" ref="F58:M58" si="46">F56-F57</f>
        <v>2744.6165080000001</v>
      </c>
      <c r="G58" s="344">
        <f t="shared" si="46"/>
        <v>2891.3813289999998</v>
      </c>
      <c r="H58" s="344">
        <f t="shared" si="46"/>
        <v>2878.0906059999998</v>
      </c>
      <c r="I58" s="344">
        <f t="shared" si="46"/>
        <v>2878.0906059999998</v>
      </c>
      <c r="J58" s="344">
        <f t="shared" si="46"/>
        <v>0</v>
      </c>
      <c r="K58" s="344">
        <f t="shared" si="46"/>
        <v>0</v>
      </c>
      <c r="L58" s="344">
        <f t="shared" si="46"/>
        <v>0</v>
      </c>
      <c r="M58" s="344">
        <f t="shared" si="46"/>
        <v>0</v>
      </c>
      <c r="N58" s="334"/>
      <c r="O58" s="344">
        <f>O56-O57</f>
        <v>4964.1864699999996</v>
      </c>
      <c r="P58" s="344">
        <f>P56-P57</f>
        <v>4942.4730159999999</v>
      </c>
      <c r="Q58" s="344">
        <f t="shared" ref="Q58:X58" si="47">Q56-Q57</f>
        <v>5223.6064699999997</v>
      </c>
      <c r="R58" s="344">
        <f t="shared" si="47"/>
        <v>5489.2230159999999</v>
      </c>
      <c r="S58" s="344">
        <f t="shared" si="47"/>
        <v>5782.7534949999999</v>
      </c>
      <c r="T58" s="344">
        <f t="shared" si="47"/>
        <v>5756.1720489999998</v>
      </c>
      <c r="U58" s="344">
        <f t="shared" si="47"/>
        <v>0</v>
      </c>
      <c r="V58" s="344">
        <f t="shared" si="47"/>
        <v>0</v>
      </c>
      <c r="W58" s="344">
        <f t="shared" si="47"/>
        <v>0</v>
      </c>
      <c r="X58" s="344">
        <f t="shared" si="47"/>
        <v>0</v>
      </c>
      <c r="Y58" s="334"/>
      <c r="Z58" s="344">
        <f>'Loonkosten uitgebreid'!AF94-Z55</f>
        <v>29785.11882</v>
      </c>
      <c r="AA58" s="344">
        <f>IF(AA$46&lt;&gt;"[leeg]",'Loonkosten uitgebreid'!AG94-AA55,0)</f>
        <v>31341.638819999996</v>
      </c>
      <c r="AB58" s="344">
        <f>IF(AB$46&lt;&gt;"[leeg]",'Loonkosten uitgebreid'!AH94-AB55,0)</f>
        <v>32935.398095999997</v>
      </c>
      <c r="AC58" s="344">
        <f>IF(AC$46&lt;&gt;"[leeg]",'Loonkosten uitgebreid'!AI94-AC55,0)</f>
        <v>34696.575948000005</v>
      </c>
      <c r="AD58" s="344">
        <f>IF(AD$46&lt;&gt;"[leeg]",'Loonkosten uitgebreid'!AJ94-AD55,0)</f>
        <v>34537.087272000004</v>
      </c>
      <c r="AE58" s="344">
        <f>IF(AE$46&lt;&gt;"[leeg]",'Loonkosten uitgebreid'!AK94-AE55,0)</f>
        <v>34537.087272000004</v>
      </c>
      <c r="AF58" s="344">
        <f>IF(AF$46&lt;&gt;"[leeg]",'Loonkosten uitgebreid'!AL94-AF55,0)</f>
        <v>0</v>
      </c>
      <c r="AG58" s="344">
        <f>IF(AG$46&lt;&gt;"[leeg]",'Loonkosten uitgebreid'!AM94-AG55,0)</f>
        <v>0</v>
      </c>
      <c r="AH58" s="344">
        <f>IF(AH$46&lt;&gt;"[leeg]",'Loonkosten uitgebreid'!AN94-AH55,0)</f>
        <v>0</v>
      </c>
      <c r="AI58" s="344">
        <f>IF(AI$46&lt;&gt;"[leeg]",'Loonkosten uitgebreid'!AO94-AI55,0)</f>
        <v>0</v>
      </c>
      <c r="AJ58" s="334"/>
      <c r="AK58" s="344">
        <f>'Loonkosten uitgebreid'!AR94-AK55</f>
        <v>59570.237639999999</v>
      </c>
      <c r="AL58" s="344">
        <f>'Loonkosten uitgebreid'!AS94-AL55</f>
        <v>62422.716192</v>
      </c>
      <c r="AM58" s="344">
        <f>'Loonkosten uitgebreid'!AT94-AM55</f>
        <v>66131.237640000007</v>
      </c>
      <c r="AN58" s="344">
        <f>'Loonkosten uitgebreid'!AU94-AN55</f>
        <v>69681.636191999991</v>
      </c>
      <c r="AO58" s="344">
        <f>'Loonkosten uitgebreid'!AV94-AO55</f>
        <v>69393.041939999996</v>
      </c>
      <c r="AP58" s="344">
        <f>'Loonkosten uitgebreid'!AW94-AP55</f>
        <v>69074.064587999994</v>
      </c>
      <c r="AQ58" s="344">
        <f>'Loonkosten uitgebreid'!AX94-AQ55</f>
        <v>0</v>
      </c>
      <c r="AR58" s="344">
        <f>'Loonkosten uitgebreid'!AY94-AR55</f>
        <v>0</v>
      </c>
      <c r="AS58" s="344">
        <f>'Loonkosten uitgebreid'!AZ94-AS55</f>
        <v>0</v>
      </c>
      <c r="AT58" s="344">
        <f>'Loonkosten uitgebreid'!BA94-AT55</f>
        <v>0</v>
      </c>
    </row>
    <row r="59" spans="2:46" ht="16.5" thickTop="1" thickBot="1" x14ac:dyDescent="0.3">
      <c r="B59" s="337"/>
      <c r="C59" s="95" t="s">
        <v>56</v>
      </c>
      <c r="D59" s="344">
        <f>D58</f>
        <v>2482.0932349999998</v>
      </c>
      <c r="E59" s="488">
        <f>E58</f>
        <v>2611.8032349999999</v>
      </c>
      <c r="F59" s="488">
        <f t="shared" ref="F59:M59" si="48">F58</f>
        <v>2744.6165080000001</v>
      </c>
      <c r="G59" s="488">
        <f t="shared" si="48"/>
        <v>2891.3813289999998</v>
      </c>
      <c r="H59" s="488">
        <f t="shared" si="48"/>
        <v>2878.0906059999998</v>
      </c>
      <c r="I59" s="488">
        <f t="shared" si="48"/>
        <v>2878.0906059999998</v>
      </c>
      <c r="J59" s="488">
        <f t="shared" si="48"/>
        <v>0</v>
      </c>
      <c r="K59" s="488">
        <f t="shared" si="48"/>
        <v>0</v>
      </c>
      <c r="L59" s="488">
        <f t="shared" si="48"/>
        <v>0</v>
      </c>
      <c r="M59" s="488">
        <f t="shared" si="48"/>
        <v>0</v>
      </c>
      <c r="N59" s="334"/>
      <c r="O59" s="344">
        <f>O58</f>
        <v>4964.1864699999996</v>
      </c>
      <c r="P59" s="344">
        <f>P58</f>
        <v>4942.4730159999999</v>
      </c>
      <c r="Q59" s="344">
        <f t="shared" ref="Q59:X59" si="49">Q58</f>
        <v>5223.6064699999997</v>
      </c>
      <c r="R59" s="344">
        <f t="shared" si="49"/>
        <v>5489.2230159999999</v>
      </c>
      <c r="S59" s="344">
        <f t="shared" si="49"/>
        <v>5782.7534949999999</v>
      </c>
      <c r="T59" s="344">
        <f t="shared" si="49"/>
        <v>5756.1720489999998</v>
      </c>
      <c r="U59" s="344">
        <f t="shared" si="49"/>
        <v>0</v>
      </c>
      <c r="V59" s="344">
        <f t="shared" si="49"/>
        <v>0</v>
      </c>
      <c r="W59" s="344">
        <f t="shared" si="49"/>
        <v>0</v>
      </c>
      <c r="X59" s="344">
        <f t="shared" si="49"/>
        <v>0</v>
      </c>
      <c r="Y59" s="334"/>
      <c r="Z59" s="344">
        <f>Z58</f>
        <v>29785.11882</v>
      </c>
      <c r="AA59" s="344">
        <f>AA58</f>
        <v>31341.638819999996</v>
      </c>
      <c r="AB59" s="344">
        <f t="shared" ref="AB59:AI59" si="50">AB58</f>
        <v>32935.398095999997</v>
      </c>
      <c r="AC59" s="344">
        <f t="shared" si="50"/>
        <v>34696.575948000005</v>
      </c>
      <c r="AD59" s="344">
        <f t="shared" si="50"/>
        <v>34537.087272000004</v>
      </c>
      <c r="AE59" s="344">
        <f t="shared" si="50"/>
        <v>34537.087272000004</v>
      </c>
      <c r="AF59" s="344">
        <f t="shared" si="50"/>
        <v>0</v>
      </c>
      <c r="AG59" s="344">
        <f t="shared" si="50"/>
        <v>0</v>
      </c>
      <c r="AH59" s="344">
        <f t="shared" si="50"/>
        <v>0</v>
      </c>
      <c r="AI59" s="344">
        <f t="shared" si="50"/>
        <v>0</v>
      </c>
      <c r="AJ59" s="334"/>
      <c r="AK59" s="344">
        <f>AK58</f>
        <v>59570.237639999999</v>
      </c>
      <c r="AL59" s="344">
        <f t="shared" ref="AL59:AT59" si="51">AL58</f>
        <v>62422.716192</v>
      </c>
      <c r="AM59" s="344">
        <f t="shared" si="51"/>
        <v>66131.237640000007</v>
      </c>
      <c r="AN59" s="344">
        <f t="shared" si="51"/>
        <v>69681.636191999991</v>
      </c>
      <c r="AO59" s="344">
        <f t="shared" si="51"/>
        <v>69393.041939999996</v>
      </c>
      <c r="AP59" s="344">
        <f t="shared" si="51"/>
        <v>69074.064587999994</v>
      </c>
      <c r="AQ59" s="344">
        <f t="shared" si="51"/>
        <v>0</v>
      </c>
      <c r="AR59" s="344">
        <f t="shared" si="51"/>
        <v>0</v>
      </c>
      <c r="AS59" s="344">
        <f t="shared" si="51"/>
        <v>0</v>
      </c>
      <c r="AT59" s="344">
        <f t="shared" si="51"/>
        <v>0</v>
      </c>
    </row>
    <row r="60" spans="2:46" ht="16.5" thickTop="1" thickBot="1" x14ac:dyDescent="0.3">
      <c r="B60" s="337"/>
      <c r="C60" s="95" t="s">
        <v>36</v>
      </c>
      <c r="D60" s="486">
        <f>'Loonkosten uitgebreid'!H103</f>
        <v>161.58000000000001</v>
      </c>
      <c r="E60" s="489"/>
      <c r="F60" s="489"/>
      <c r="G60" s="489"/>
      <c r="H60" s="489"/>
      <c r="I60" s="489"/>
      <c r="J60" s="489"/>
      <c r="K60" s="489"/>
      <c r="L60" s="489"/>
      <c r="M60" s="489"/>
      <c r="N60" s="334"/>
      <c r="O60" s="344">
        <f>'Loonkosten uitgebreid'!T103</f>
        <v>323.17</v>
      </c>
      <c r="P60" s="491"/>
      <c r="Q60" s="491"/>
      <c r="R60" s="491"/>
      <c r="S60" s="491"/>
      <c r="T60" s="491"/>
      <c r="U60" s="491"/>
      <c r="V60" s="491"/>
      <c r="W60" s="491"/>
      <c r="X60" s="491"/>
      <c r="Y60" s="334"/>
      <c r="Z60" s="344">
        <f>'Loonkosten uitgebreid'!AF103</f>
        <v>1938.96</v>
      </c>
      <c r="AA60" s="491"/>
      <c r="AB60" s="491"/>
      <c r="AC60" s="491"/>
      <c r="AD60" s="491"/>
      <c r="AE60" s="491"/>
      <c r="AF60" s="491"/>
      <c r="AG60" s="491"/>
      <c r="AH60" s="491"/>
      <c r="AI60" s="491"/>
      <c r="AJ60" s="334"/>
      <c r="AK60" s="344">
        <f>'Loonkosten uitgebreid'!AR103</f>
        <v>3878.04</v>
      </c>
      <c r="AL60" s="491"/>
      <c r="AM60" s="491"/>
      <c r="AN60" s="491"/>
      <c r="AO60" s="491"/>
      <c r="AP60" s="491"/>
      <c r="AQ60" s="491"/>
      <c r="AR60" s="491"/>
      <c r="AS60" s="491"/>
      <c r="AT60" s="491"/>
    </row>
    <row r="61" spans="2:46" ht="16.5" thickTop="1" thickBot="1" x14ac:dyDescent="0.3">
      <c r="B61" s="337"/>
      <c r="C61" s="41" t="s">
        <v>23</v>
      </c>
      <c r="D61" s="486">
        <f>SUM(D59:D60)</f>
        <v>2643.6732349999997</v>
      </c>
      <c r="E61" s="489"/>
      <c r="F61" s="489"/>
      <c r="G61" s="489"/>
      <c r="H61" s="489"/>
      <c r="I61" s="489"/>
      <c r="J61" s="489"/>
      <c r="K61" s="489"/>
      <c r="L61" s="489"/>
      <c r="M61" s="489"/>
      <c r="N61" s="334"/>
      <c r="O61" s="344">
        <f>SUM(O59:O60)</f>
        <v>5287.3564699999997</v>
      </c>
      <c r="P61" s="491"/>
      <c r="Q61" s="491"/>
      <c r="R61" s="491"/>
      <c r="S61" s="491"/>
      <c r="T61" s="491"/>
      <c r="U61" s="491"/>
      <c r="V61" s="491"/>
      <c r="W61" s="491"/>
      <c r="X61" s="491"/>
      <c r="Y61" s="334"/>
      <c r="Z61" s="344">
        <f>SUM(Z59:Z60)</f>
        <v>31724.078819999999</v>
      </c>
      <c r="AA61" s="491"/>
      <c r="AB61" s="491"/>
      <c r="AC61" s="491"/>
      <c r="AD61" s="491"/>
      <c r="AE61" s="491"/>
      <c r="AF61" s="491"/>
      <c r="AG61" s="491"/>
      <c r="AH61" s="491"/>
      <c r="AI61" s="491"/>
      <c r="AJ61" s="334"/>
      <c r="AK61" s="344">
        <f>SUM(AK59:AK60)</f>
        <v>63448.27764</v>
      </c>
      <c r="AL61" s="491"/>
      <c r="AM61" s="491"/>
      <c r="AN61" s="491"/>
      <c r="AO61" s="491"/>
      <c r="AP61" s="491"/>
      <c r="AQ61" s="491"/>
      <c r="AR61" s="491"/>
      <c r="AS61" s="491"/>
      <c r="AT61" s="491"/>
    </row>
    <row r="62" spans="2:46" ht="16.5" thickTop="1" thickBot="1" x14ac:dyDescent="0.3">
      <c r="B62" s="95"/>
      <c r="C62" s="95" t="s">
        <v>95</v>
      </c>
      <c r="D62" s="486">
        <f>D61</f>
        <v>2643.6732349999997</v>
      </c>
      <c r="E62" s="489"/>
      <c r="F62" s="489"/>
      <c r="G62" s="489"/>
      <c r="H62" s="489"/>
      <c r="I62" s="489"/>
      <c r="J62" s="489"/>
      <c r="K62" s="489"/>
      <c r="L62" s="489"/>
      <c r="M62" s="489"/>
      <c r="N62" s="334"/>
      <c r="O62" s="344">
        <f>O61</f>
        <v>5287.3564699999997</v>
      </c>
      <c r="P62" s="491"/>
      <c r="Q62" s="491"/>
      <c r="R62" s="491"/>
      <c r="S62" s="491"/>
      <c r="T62" s="491"/>
      <c r="U62" s="491"/>
      <c r="V62" s="491"/>
      <c r="W62" s="491"/>
      <c r="X62" s="491"/>
      <c r="Y62" s="334"/>
      <c r="Z62" s="344">
        <f>Z61</f>
        <v>31724.078819999999</v>
      </c>
      <c r="AA62" s="491"/>
      <c r="AB62" s="491"/>
      <c r="AC62" s="491"/>
      <c r="AD62" s="491"/>
      <c r="AE62" s="491"/>
      <c r="AF62" s="491"/>
      <c r="AG62" s="491"/>
      <c r="AH62" s="491"/>
      <c r="AI62" s="491"/>
      <c r="AJ62" s="334"/>
      <c r="AK62" s="344">
        <f>AK61</f>
        <v>63448.27764</v>
      </c>
      <c r="AL62" s="491"/>
      <c r="AM62" s="491"/>
      <c r="AN62" s="491"/>
      <c r="AO62" s="491"/>
      <c r="AP62" s="491"/>
      <c r="AQ62" s="491"/>
      <c r="AR62" s="491"/>
      <c r="AS62" s="491"/>
      <c r="AT62" s="491"/>
    </row>
    <row r="63" spans="2:46" ht="16.5" thickTop="1" thickBot="1" x14ac:dyDescent="0.3">
      <c r="B63" s="95"/>
      <c r="C63" s="41" t="s">
        <v>94</v>
      </c>
      <c r="D63" s="486">
        <f>Z63/12</f>
        <v>946.96375277700008</v>
      </c>
      <c r="E63" s="489"/>
      <c r="F63" s="489"/>
      <c r="G63" s="489"/>
      <c r="H63" s="489"/>
      <c r="I63" s="489"/>
      <c r="J63" s="489"/>
      <c r="K63" s="489"/>
      <c r="L63" s="489"/>
      <c r="M63" s="489"/>
      <c r="N63" s="334"/>
      <c r="O63" s="344">
        <f>AK63/12</f>
        <v>1928.5606382893336</v>
      </c>
      <c r="P63" s="491"/>
      <c r="Q63" s="491"/>
      <c r="R63" s="491"/>
      <c r="S63" s="491"/>
      <c r="T63" s="491"/>
      <c r="U63" s="491"/>
      <c r="V63" s="491"/>
      <c r="W63" s="491"/>
      <c r="X63" s="491"/>
      <c r="Y63" s="334"/>
      <c r="Z63" s="344">
        <f>IF('Loonkosten uitgebreid'!$D$70&gt;=Hulptabellen!$E$3,VLOOKUP(Z61,'Tabellen Loonbelasting'!$B$4:$E$7,3,TRUE)*('Inkomensgevolgen uitgebreid'!Z61-VLOOKUP(Z61,'Tabellen Loonbelasting'!$B$4:$E$7,1,TRUE))+VLOOKUP(Z61,'Tabellen Loonbelasting'!$B$4:$E$7,4,TRUE),VLOOKUP(Z61,'Tabellen Loonbelasting'!$B$10:$E$13,3,TRUE)*('Inkomensgevolgen uitgebreid'!Z61-VLOOKUP(Z61,'Tabellen Loonbelasting'!$B$10:$E$13,1,TRUE))+VLOOKUP(Z61,'Tabellen Loonbelasting'!$B$10:$E$13,4,TRUE))</f>
        <v>11363.565033324001</v>
      </c>
      <c r="AA63" s="491"/>
      <c r="AB63" s="491"/>
      <c r="AC63" s="491"/>
      <c r="AD63" s="491"/>
      <c r="AE63" s="491"/>
      <c r="AF63" s="491"/>
      <c r="AG63" s="491"/>
      <c r="AH63" s="491"/>
      <c r="AI63" s="491"/>
      <c r="AJ63" s="334"/>
      <c r="AK63" s="344">
        <f>IF('Loonkosten uitgebreid'!$D$70&gt;=Hulptabellen!$E$3,VLOOKUP(AK61,'Tabellen Loonbelasting'!$B$4:$E$7,3,TRUE)*('Inkomensgevolgen uitgebreid'!AK61-VLOOKUP(AK61,'Tabellen Loonbelasting'!$B$4:$E$7,1,TRUE))+VLOOKUP(AK61,'Tabellen Loonbelasting'!$B$4:$E$7,4,TRUE),VLOOKUP(AK61,'Tabellen Loonbelasting'!$B$10:$E$13,3,TRUE)*('Inkomensgevolgen uitgebreid'!AK61-VLOOKUP(AK61,'Tabellen Loonbelasting'!$B$10:$E$13,1,TRUE))+VLOOKUP(AK61,'Tabellen Loonbelasting'!$B$10:$E$13,4,TRUE))</f>
        <v>23142.727659472002</v>
      </c>
      <c r="AL63" s="491"/>
      <c r="AM63" s="491"/>
      <c r="AN63" s="491"/>
      <c r="AO63" s="491"/>
      <c r="AP63" s="491"/>
      <c r="AQ63" s="491"/>
      <c r="AR63" s="491"/>
      <c r="AS63" s="491"/>
      <c r="AT63" s="491"/>
    </row>
    <row r="64" spans="2:46" ht="16.5" thickTop="1" thickBot="1" x14ac:dyDescent="0.3">
      <c r="B64" s="95"/>
      <c r="C64" s="41" t="s">
        <v>27</v>
      </c>
      <c r="D64" s="486">
        <f>Z64/12</f>
        <v>262.64972626471666</v>
      </c>
      <c r="E64" s="489"/>
      <c r="F64" s="489"/>
      <c r="G64" s="489"/>
      <c r="H64" s="489"/>
      <c r="I64" s="489"/>
      <c r="J64" s="489"/>
      <c r="K64" s="489"/>
      <c r="L64" s="489"/>
      <c r="M64" s="489"/>
      <c r="N64" s="334"/>
      <c r="O64" s="344">
        <f>AK64/12</f>
        <v>95.119519662766677</v>
      </c>
      <c r="P64" s="491"/>
      <c r="Q64" s="491"/>
      <c r="R64" s="491"/>
      <c r="S64" s="491"/>
      <c r="T64" s="491"/>
      <c r="U64" s="491"/>
      <c r="V64" s="491"/>
      <c r="W64" s="491"/>
      <c r="X64" s="491"/>
      <c r="Y64" s="334"/>
      <c r="Z64" s="344">
        <f>IF('Loonkosten uitgebreid'!$D$70&gt;Hulptabellen!$E$3,IF(Z62&gt;='Tabellen Loonbelasting'!$B$20,0,IF(Z62&lt;'Tabellen Loonbelasting'!$B$19,'Tabellen Loonbelasting'!$C$18,'Tabellen Loonbelasting'!$C$18-'Tabellen Loonbelasting'!$C$19*('Inkomensgevolgen uitgebreid'!Z62-'Tabellen Loonbelasting'!$B$19-1))),IF(Z62&gt;='Tabellen Loonbelasting'!$B$25,0,IF(Z62&lt;'Tabellen Loonbelasting'!$B$24,'Tabellen Loonbelasting'!$C$23,'Tabellen Loonbelasting'!$C$23-'Tabellen Loonbelasting'!$C$24*('Inkomensgevolgen uitgebreid'!Z62-'Tabellen Loonbelasting'!$B$24-1))))</f>
        <v>3151.7967151766002</v>
      </c>
      <c r="AA64" s="491"/>
      <c r="AB64" s="491"/>
      <c r="AC64" s="491"/>
      <c r="AD64" s="491"/>
      <c r="AE64" s="491"/>
      <c r="AF64" s="491"/>
      <c r="AG64" s="491"/>
      <c r="AH64" s="491"/>
      <c r="AI64" s="491"/>
      <c r="AJ64" s="334"/>
      <c r="AK64" s="344">
        <f>IF('Loonkosten uitgebreid'!$D$70&gt;Hulptabellen!$E$3,IF(AK62&gt;='Tabellen Loonbelasting'!$B$20,0,IF(AK62&lt;'Tabellen Loonbelasting'!$B$19,'Tabellen Loonbelasting'!$C$18,'Tabellen Loonbelasting'!$C$18-'Tabellen Loonbelasting'!$C$19*('Inkomensgevolgen uitgebreid'!AK62-'Tabellen Loonbelasting'!$B$19-1))),IF(AK62&gt;='Tabellen Loonbelasting'!$B$25,0,IF(AK62&lt;'Tabellen Loonbelasting'!$B$24,'Tabellen Loonbelasting'!$C$23,'Tabellen Loonbelasting'!$C$23-'Tabellen Loonbelasting'!$C$24*('Inkomensgevolgen uitgebreid'!AK62-'Tabellen Loonbelasting'!$B$24-1))))</f>
        <v>1141.4342359532002</v>
      </c>
      <c r="AL64" s="491"/>
      <c r="AM64" s="491"/>
      <c r="AN64" s="491"/>
      <c r="AO64" s="491"/>
      <c r="AP64" s="491"/>
      <c r="AQ64" s="491"/>
      <c r="AR64" s="491"/>
      <c r="AS64" s="491"/>
      <c r="AT64" s="491"/>
    </row>
    <row r="65" spans="2:46" ht="16.5" thickTop="1" thickBot="1" x14ac:dyDescent="0.3">
      <c r="B65" s="95"/>
      <c r="C65" s="41" t="s">
        <v>28</v>
      </c>
      <c r="D65" s="486">
        <f>IF(Z65="p.m.","p.m.",Z65/12)</f>
        <v>363.56222164630003</v>
      </c>
      <c r="E65" s="489"/>
      <c r="F65" s="489"/>
      <c r="G65" s="489"/>
      <c r="H65" s="489"/>
      <c r="I65" s="489"/>
      <c r="J65" s="489"/>
      <c r="K65" s="489"/>
      <c r="L65" s="489"/>
      <c r="M65" s="489"/>
      <c r="N65" s="334"/>
      <c r="O65" s="344">
        <f>IF(AK65="p.m.","p.m.",AK65/12)</f>
        <v>356.03660213633333</v>
      </c>
      <c r="P65" s="491"/>
      <c r="Q65" s="491"/>
      <c r="R65" s="491"/>
      <c r="S65" s="491"/>
      <c r="T65" s="491"/>
      <c r="U65" s="491"/>
      <c r="V65" s="491"/>
      <c r="W65" s="491"/>
      <c r="X65" s="491"/>
      <c r="Y65" s="334"/>
      <c r="Z65" s="344">
        <f>IF('Loonkosten uitgebreid'!$D$70&gt;Hulptabellen!$E$3,VLOOKUP(Z62,'Tabellen Loonbelasting'!$B$29:$E$33,4,TRUE)+VLOOKUP(Z62,'Tabellen Loonbelasting'!$B$29:$E$33,3,TRUE)*('Inkomensgevolgen uitgebreid'!Z62-VLOOKUP(Z62,'Tabellen Loonbelasting'!$B$29:$E$33,1,TRUE)),VLOOKUP(Z62,'Tabellen Loonbelasting'!$B$38:$E$42,4,TRUE)+VLOOKUP(Z62,'Tabellen Loonbelasting'!$B$38:$E$42,3,TRUE)*('Inkomensgevolgen uitgebreid'!Z62-VLOOKUP(Z62,'Tabellen Loonbelasting'!$B$38:$E$42,1,TRUE)))</f>
        <v>4362.7466597556004</v>
      </c>
      <c r="AA65" s="491"/>
      <c r="AB65" s="491"/>
      <c r="AC65" s="491"/>
      <c r="AD65" s="491"/>
      <c r="AE65" s="491"/>
      <c r="AF65" s="491"/>
      <c r="AG65" s="491"/>
      <c r="AH65" s="491"/>
      <c r="AI65" s="491"/>
      <c r="AJ65" s="334"/>
      <c r="AK65" s="344">
        <f>IF('Loonkosten uitgebreid'!$D$70&gt;Hulptabellen!$E$3,VLOOKUP(AK62,'Tabellen Loonbelasting'!$B$29:$E$33,4,TRUE)+VLOOKUP(AK62,'Tabellen Loonbelasting'!$B$29:$E$33,3,TRUE)*('Inkomensgevolgen uitgebreid'!AK62-VLOOKUP(AK62,'Tabellen Loonbelasting'!$B$29:$E$33,1,TRUE)),VLOOKUP(AK62,'Tabellen Loonbelasting'!$B$38:$E$42,4,TRUE)+VLOOKUP(AK62,'Tabellen Loonbelasting'!$B$38:$E$42,3,TRUE)*('Inkomensgevolgen uitgebreid'!AK62-VLOOKUP(AK62,'Tabellen Loonbelasting'!$B$38:$E$42,1,TRUE)))</f>
        <v>4272.4392256359997</v>
      </c>
      <c r="AL65" s="491"/>
      <c r="AM65" s="491"/>
      <c r="AN65" s="491"/>
      <c r="AO65" s="491"/>
      <c r="AP65" s="491"/>
      <c r="AQ65" s="491"/>
      <c r="AR65" s="491"/>
      <c r="AS65" s="491"/>
      <c r="AT65" s="491"/>
    </row>
    <row r="66" spans="2:46" s="339" customFormat="1" ht="16.5" thickTop="1" thickBot="1" x14ac:dyDescent="0.3">
      <c r="B66" s="335"/>
      <c r="C66" s="335" t="s">
        <v>91</v>
      </c>
      <c r="D66" s="487">
        <f>MAX(D63-D64-IF(D65&lt;&gt;"p.m.",D65,0),0)</f>
        <v>320.75180486598333</v>
      </c>
      <c r="E66" s="490"/>
      <c r="F66" s="490"/>
      <c r="G66" s="490"/>
      <c r="H66" s="490"/>
      <c r="I66" s="490"/>
      <c r="J66" s="490"/>
      <c r="K66" s="490"/>
      <c r="L66" s="490"/>
      <c r="M66" s="490"/>
      <c r="N66" s="338"/>
      <c r="O66" s="345">
        <f>MAX(O63-O64-IF(O65&lt;&gt;"p.m.",O65,0),0)</f>
        <v>1477.4045164902336</v>
      </c>
      <c r="P66" s="492"/>
      <c r="Q66" s="492"/>
      <c r="R66" s="492"/>
      <c r="S66" s="492"/>
      <c r="T66" s="492"/>
      <c r="U66" s="492"/>
      <c r="V66" s="492"/>
      <c r="W66" s="492"/>
      <c r="X66" s="492"/>
      <c r="Y66" s="338"/>
      <c r="Z66" s="345">
        <f>MAX(Z63-Z64-IF(Z65&lt;&gt;"p.m.",Z65,0),0)</f>
        <v>3849.0216583918</v>
      </c>
      <c r="AA66" s="492"/>
      <c r="AB66" s="492"/>
      <c r="AC66" s="492"/>
      <c r="AD66" s="492"/>
      <c r="AE66" s="492"/>
      <c r="AF66" s="492"/>
      <c r="AG66" s="492"/>
      <c r="AH66" s="492"/>
      <c r="AI66" s="492"/>
      <c r="AJ66" s="338"/>
      <c r="AK66" s="345">
        <f>MAX(AK63-AK64-IF(AK65&lt;&gt;"p.m.",AK65,0),0)</f>
        <v>17728.8541978828</v>
      </c>
      <c r="AL66" s="492"/>
      <c r="AM66" s="492"/>
      <c r="AN66" s="492"/>
      <c r="AO66" s="492"/>
      <c r="AP66" s="492"/>
      <c r="AQ66" s="492"/>
      <c r="AR66" s="492"/>
      <c r="AS66" s="492"/>
      <c r="AT66" s="492"/>
    </row>
    <row r="67" spans="2:46" ht="15.75" thickTop="1" x14ac:dyDescent="0.25">
      <c r="B67" s="335"/>
      <c r="C67" s="335"/>
      <c r="D67" s="95"/>
      <c r="E67" s="95"/>
      <c r="F67" s="95"/>
      <c r="G67" s="95"/>
      <c r="H67" s="95"/>
      <c r="I67" s="95"/>
      <c r="J67" s="95"/>
      <c r="K67" s="95"/>
      <c r="L67" s="95"/>
      <c r="M67" s="95"/>
      <c r="N67" s="334"/>
      <c r="O67" s="95"/>
      <c r="P67" s="95"/>
      <c r="Q67" s="95"/>
      <c r="R67" s="95"/>
      <c r="S67" s="95"/>
      <c r="T67" s="95"/>
      <c r="U67" s="95"/>
      <c r="V67" s="95"/>
      <c r="W67" s="95"/>
      <c r="X67" s="95"/>
      <c r="Y67" s="334"/>
      <c r="Z67" s="95"/>
      <c r="AA67" s="95"/>
      <c r="AB67" s="95"/>
      <c r="AC67" s="95"/>
      <c r="AD67" s="95"/>
      <c r="AE67" s="95"/>
      <c r="AF67" s="95"/>
      <c r="AG67" s="95"/>
      <c r="AH67" s="95"/>
      <c r="AI67" s="95"/>
      <c r="AJ67" s="334"/>
      <c r="AK67" s="95"/>
      <c r="AL67" s="95"/>
      <c r="AM67" s="95"/>
      <c r="AN67" s="95"/>
      <c r="AO67" s="95"/>
      <c r="AP67" s="95"/>
      <c r="AQ67" s="95"/>
      <c r="AR67" s="95"/>
      <c r="AS67" s="95"/>
      <c r="AT67" s="95"/>
    </row>
    <row r="68" spans="2:46" ht="15.75" thickBot="1" x14ac:dyDescent="0.3">
      <c r="B68" s="95"/>
      <c r="C68" s="41" t="s">
        <v>120</v>
      </c>
      <c r="D68" s="95"/>
      <c r="E68" s="95"/>
      <c r="F68" s="95"/>
      <c r="G68" s="95"/>
      <c r="H68" s="95"/>
      <c r="I68" s="95"/>
      <c r="J68" s="95"/>
      <c r="K68" s="95"/>
      <c r="L68" s="95"/>
      <c r="M68" s="95"/>
      <c r="N68" s="334"/>
      <c r="O68" s="95"/>
      <c r="P68" s="95"/>
      <c r="Q68" s="95"/>
      <c r="R68" s="95"/>
      <c r="S68" s="95"/>
      <c r="T68" s="95"/>
      <c r="U68" s="95"/>
      <c r="V68" s="95"/>
      <c r="W68" s="95"/>
      <c r="X68" s="95"/>
      <c r="Y68" s="334"/>
      <c r="Z68" s="95"/>
      <c r="AA68" s="95"/>
      <c r="AB68" s="95"/>
      <c r="AC68" s="95"/>
      <c r="AD68" s="95"/>
      <c r="AE68" s="95"/>
      <c r="AF68" s="95"/>
      <c r="AG68" s="95"/>
      <c r="AH68" s="95"/>
      <c r="AI68" s="95"/>
      <c r="AJ68" s="334"/>
      <c r="AK68" s="95"/>
      <c r="AL68" s="95"/>
      <c r="AM68" s="95"/>
      <c r="AN68" s="95"/>
      <c r="AO68" s="95"/>
      <c r="AP68" s="95"/>
      <c r="AQ68" s="95"/>
      <c r="AR68" s="95"/>
      <c r="AS68" s="95"/>
      <c r="AT68" s="95"/>
    </row>
    <row r="69" spans="2:46" s="339" customFormat="1" ht="16.5" thickTop="1" thickBot="1" x14ac:dyDescent="0.3">
      <c r="B69" s="335"/>
      <c r="C69" s="335" t="s">
        <v>90</v>
      </c>
      <c r="D69" s="487">
        <f>D48-D55-D66</f>
        <v>2161.3414301340163</v>
      </c>
      <c r="E69" s="490"/>
      <c r="F69" s="490"/>
      <c r="G69" s="490"/>
      <c r="H69" s="490"/>
      <c r="I69" s="490"/>
      <c r="J69" s="490"/>
      <c r="K69" s="490"/>
      <c r="L69" s="490"/>
      <c r="M69" s="490"/>
      <c r="N69" s="338"/>
      <c r="O69" s="345">
        <f>O48-O55-O66</f>
        <v>3486.781953509766</v>
      </c>
      <c r="P69" s="492"/>
      <c r="Q69" s="492"/>
      <c r="R69" s="492"/>
      <c r="S69" s="492"/>
      <c r="T69" s="492"/>
      <c r="U69" s="492"/>
      <c r="V69" s="492"/>
      <c r="W69" s="492"/>
      <c r="X69" s="492"/>
      <c r="Y69" s="338"/>
      <c r="Z69" s="345">
        <f>Z48-Z55-Z66</f>
        <v>25936.097161608199</v>
      </c>
      <c r="AA69" s="492"/>
      <c r="AB69" s="492"/>
      <c r="AC69" s="492"/>
      <c r="AD69" s="492"/>
      <c r="AE69" s="492"/>
      <c r="AF69" s="492"/>
      <c r="AG69" s="492"/>
      <c r="AH69" s="492"/>
      <c r="AI69" s="492"/>
      <c r="AJ69" s="338"/>
      <c r="AK69" s="345">
        <f>AK48-AK55-AK66</f>
        <v>41841.3834421172</v>
      </c>
      <c r="AL69" s="492"/>
      <c r="AM69" s="492"/>
      <c r="AN69" s="492"/>
      <c r="AO69" s="492"/>
      <c r="AP69" s="492"/>
      <c r="AQ69" s="492"/>
      <c r="AR69" s="492"/>
      <c r="AS69" s="492"/>
      <c r="AT69" s="492"/>
    </row>
    <row r="70" spans="2:46" ht="15.75" thickTop="1" x14ac:dyDescent="0.25">
      <c r="B70" s="95"/>
      <c r="C70" s="95"/>
      <c r="D70" s="95"/>
      <c r="E70" s="95"/>
      <c r="F70" s="95"/>
      <c r="G70" s="95"/>
      <c r="H70" s="95"/>
      <c r="I70" s="95"/>
      <c r="J70" s="95"/>
      <c r="K70" s="95"/>
      <c r="L70" s="95"/>
      <c r="M70" s="95"/>
      <c r="N70" s="334"/>
      <c r="O70" s="334"/>
      <c r="P70" s="334"/>
      <c r="Q70" s="334"/>
      <c r="R70" s="334"/>
      <c r="S70" s="334"/>
      <c r="T70" s="334"/>
      <c r="U70" s="334"/>
      <c r="V70" s="334"/>
      <c r="W70" s="334"/>
      <c r="X70" s="334"/>
      <c r="Y70" s="334"/>
      <c r="Z70" s="95"/>
      <c r="AA70" s="95"/>
      <c r="AB70" s="95"/>
      <c r="AC70" s="95"/>
      <c r="AD70" s="95"/>
      <c r="AE70" s="95"/>
      <c r="AF70" s="95"/>
      <c r="AG70" s="95"/>
      <c r="AH70" s="95"/>
      <c r="AI70" s="95"/>
      <c r="AJ70" s="334"/>
      <c r="AK70" s="95"/>
      <c r="AL70" s="95"/>
      <c r="AM70" s="95"/>
      <c r="AN70" s="95"/>
      <c r="AO70" s="95"/>
      <c r="AP70" s="95"/>
      <c r="AQ70" s="95"/>
      <c r="AR70" s="95"/>
      <c r="AS70" s="95"/>
      <c r="AT70" s="95"/>
    </row>
    <row r="72" spans="2:46" x14ac:dyDescent="0.25">
      <c r="O72" s="341"/>
    </row>
    <row r="73" spans="2:46" ht="18.75" x14ac:dyDescent="0.3">
      <c r="C73" s="466" t="s">
        <v>326</v>
      </c>
    </row>
    <row r="74" spans="2:46" ht="75" customHeight="1" x14ac:dyDescent="0.25">
      <c r="C74" s="498" t="s">
        <v>81</v>
      </c>
      <c r="D74" s="568" t="s">
        <v>392</v>
      </c>
      <c r="E74" s="529"/>
      <c r="F74" s="529"/>
      <c r="G74" s="529"/>
      <c r="H74" s="529"/>
      <c r="I74" s="529"/>
      <c r="J74" s="529"/>
      <c r="K74" s="529"/>
    </row>
    <row r="75" spans="2:46" x14ac:dyDescent="0.25">
      <c r="C75" s="497"/>
      <c r="D75" s="497"/>
      <c r="E75" s="497"/>
      <c r="F75" s="497"/>
      <c r="G75" s="497"/>
      <c r="H75" s="497"/>
      <c r="I75" s="497"/>
      <c r="J75" s="497"/>
      <c r="K75" s="497"/>
    </row>
  </sheetData>
  <sheetProtection algorithmName="SHA-512" hashValue="MktuxWdhWq5OEDvGFqBMTZCk0YF75NLK9s21Nht92fvsSe+dP1ZNuWeFiQUm65WFQggIMWb4e8vXvKkVxXi7fw==" saltValue="P8j5Jc1Qp4ix33ujkzLXoQ==" spinCount="100000" sheet="1" objects="1" scenarios="1"/>
  <mergeCells count="1">
    <mergeCell ref="D74:K74"/>
  </mergeCells>
  <pageMargins left="0.7" right="0.7" top="0.75" bottom="0.75" header="0.3" footer="0.3"/>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Blad7"/>
  <dimension ref="A1:AN114"/>
  <sheetViews>
    <sheetView zoomScaleNormal="100" workbookViewId="0">
      <selection activeCell="B73" sqref="B73"/>
    </sheetView>
  </sheetViews>
  <sheetFormatPr defaultColWidth="9.140625" defaultRowHeight="12" x14ac:dyDescent="0.2"/>
  <cols>
    <col min="1" max="1" width="44.7109375" style="365" bestFit="1" customWidth="1"/>
    <col min="2" max="2" width="20.28515625" style="365" bestFit="1" customWidth="1"/>
    <col min="3" max="3" width="9.28515625" style="365" bestFit="1" customWidth="1"/>
    <col min="4" max="4" width="30.42578125" style="365" bestFit="1" customWidth="1"/>
    <col min="5" max="5" width="37.42578125" style="365" bestFit="1" customWidth="1"/>
    <col min="6" max="6" width="12.140625" style="365" customWidth="1"/>
    <col min="7" max="7" width="14.28515625" style="365" bestFit="1" customWidth="1"/>
    <col min="8" max="8" width="8.28515625" style="365" bestFit="1" customWidth="1"/>
    <col min="9" max="9" width="12.140625" style="365" bestFit="1" customWidth="1"/>
    <col min="10" max="10" width="58.28515625" style="365" bestFit="1" customWidth="1"/>
    <col min="11" max="11" width="13.28515625" style="365" bestFit="1" customWidth="1"/>
    <col min="12" max="12" width="6.5703125" style="365" bestFit="1" customWidth="1"/>
    <col min="13" max="13" width="4.85546875" style="365" bestFit="1" customWidth="1"/>
    <col min="14" max="17" width="5.7109375" style="365" bestFit="1" customWidth="1"/>
    <col min="18" max="18" width="4.85546875" style="365" bestFit="1" customWidth="1"/>
    <col min="19" max="21" width="2.7109375" style="365" bestFit="1" customWidth="1"/>
    <col min="22" max="22" width="5.42578125" style="365" bestFit="1" customWidth="1"/>
    <col min="23" max="23" width="4.140625" style="365" bestFit="1" customWidth="1"/>
    <col min="24" max="24" width="6.140625" style="366" bestFit="1" customWidth="1"/>
    <col min="25" max="25" width="2.42578125" style="366" bestFit="1" customWidth="1"/>
    <col min="26" max="38" width="9.140625" style="366"/>
    <col min="39" max="16384" width="9.140625" style="365"/>
  </cols>
  <sheetData>
    <row r="1" spans="1:18" ht="18.75" x14ac:dyDescent="0.3">
      <c r="A1" s="364" t="s">
        <v>255</v>
      </c>
    </row>
    <row r="3" spans="1:18" x14ac:dyDescent="0.2">
      <c r="A3" s="365" t="s">
        <v>61</v>
      </c>
      <c r="B3" s="367">
        <v>2025</v>
      </c>
      <c r="E3" s="365" t="s">
        <v>314</v>
      </c>
      <c r="F3" s="369">
        <v>45663</v>
      </c>
      <c r="J3" s="476" t="s">
        <v>334</v>
      </c>
      <c r="K3" s="476"/>
      <c r="L3" s="476"/>
    </row>
    <row r="4" spans="1:18" x14ac:dyDescent="0.2">
      <c r="A4" s="365" t="s">
        <v>30</v>
      </c>
      <c r="B4" s="368" t="s">
        <v>315</v>
      </c>
    </row>
    <row r="6" spans="1:18" x14ac:dyDescent="0.2">
      <c r="A6" s="370" t="s">
        <v>12</v>
      </c>
      <c r="B6" s="371">
        <f>B3</f>
        <v>2025</v>
      </c>
    </row>
    <row r="7" spans="1:18" x14ac:dyDescent="0.2">
      <c r="A7" s="370"/>
      <c r="B7" s="370"/>
      <c r="C7" s="365" t="s">
        <v>10</v>
      </c>
      <c r="D7" s="365" t="s">
        <v>11</v>
      </c>
      <c r="E7" s="365" t="s">
        <v>24</v>
      </c>
      <c r="F7" s="365" t="s">
        <v>25</v>
      </c>
      <c r="G7" s="365" t="s">
        <v>298</v>
      </c>
      <c r="H7" s="365" t="s">
        <v>13</v>
      </c>
      <c r="J7" s="365" t="s">
        <v>45</v>
      </c>
    </row>
    <row r="8" spans="1:18" ht="12.75" x14ac:dyDescent="0.2">
      <c r="A8" s="372" t="s">
        <v>9</v>
      </c>
      <c r="C8" s="373">
        <v>0.189</v>
      </c>
      <c r="D8" s="374">
        <v>8.1000000000000003E-2</v>
      </c>
      <c r="E8" s="448">
        <v>18500</v>
      </c>
      <c r="F8" s="375">
        <f>+E8/12</f>
        <v>1541.6666666666667</v>
      </c>
      <c r="J8" s="455" t="s">
        <v>335</v>
      </c>
      <c r="L8" s="376"/>
      <c r="M8" s="376"/>
      <c r="N8" s="376"/>
      <c r="P8" s="376"/>
      <c r="Q8" s="376"/>
    </row>
    <row r="9" spans="1:18" ht="12.75" x14ac:dyDescent="0.2">
      <c r="A9" s="372" t="s">
        <v>336</v>
      </c>
      <c r="C9" s="374">
        <v>6.3E-3</v>
      </c>
      <c r="D9" s="374">
        <v>2.7000000000000001E-3</v>
      </c>
      <c r="E9" s="448">
        <v>28350</v>
      </c>
      <c r="F9" s="375">
        <f>+E9/12</f>
        <v>2362.5</v>
      </c>
      <c r="J9" s="455" t="s">
        <v>335</v>
      </c>
      <c r="L9" s="376"/>
      <c r="M9" s="376"/>
      <c r="N9" s="376"/>
      <c r="O9" s="376"/>
      <c r="P9" s="376"/>
      <c r="Q9" s="376"/>
    </row>
    <row r="10" spans="1:18" ht="12.75" x14ac:dyDescent="0.2">
      <c r="A10" s="372" t="s">
        <v>295</v>
      </c>
      <c r="C10" s="373">
        <v>0</v>
      </c>
      <c r="D10" s="373">
        <v>0</v>
      </c>
      <c r="E10" s="377"/>
      <c r="F10" s="377"/>
      <c r="J10" s="455" t="s">
        <v>335</v>
      </c>
      <c r="L10" s="376"/>
      <c r="M10" s="376"/>
      <c r="N10" s="376"/>
      <c r="O10" s="376"/>
      <c r="P10" s="376"/>
      <c r="Q10" s="376"/>
    </row>
    <row r="11" spans="1:18" ht="12.75" x14ac:dyDescent="0.2">
      <c r="A11" s="378" t="s">
        <v>256</v>
      </c>
      <c r="C11" s="477">
        <f>0.0764+0.005</f>
        <v>8.14E-2</v>
      </c>
      <c r="D11" s="380"/>
      <c r="E11" s="380"/>
      <c r="F11" s="380"/>
      <c r="G11" s="398">
        <v>75864</v>
      </c>
      <c r="H11" s="478">
        <f>G11/12</f>
        <v>6322</v>
      </c>
      <c r="J11" s="384" t="s">
        <v>337</v>
      </c>
      <c r="K11" s="365" t="s">
        <v>338</v>
      </c>
      <c r="R11" s="382"/>
    </row>
    <row r="12" spans="1:18" ht="12.75" x14ac:dyDescent="0.2">
      <c r="A12" s="378" t="s">
        <v>73</v>
      </c>
      <c r="C12" s="379">
        <f>(0.88+0.2)/100</f>
        <v>1.0800000000000001E-2</v>
      </c>
      <c r="D12" s="380"/>
      <c r="E12" s="380"/>
      <c r="F12" s="380"/>
      <c r="G12" s="383">
        <f>+G11</f>
        <v>75864</v>
      </c>
      <c r="H12" s="383">
        <f>H11</f>
        <v>6322</v>
      </c>
      <c r="J12" s="455" t="s">
        <v>339</v>
      </c>
      <c r="L12" s="6"/>
      <c r="M12" s="6"/>
      <c r="N12" s="6"/>
      <c r="O12" s="6"/>
      <c r="P12" s="6"/>
      <c r="Q12" s="6"/>
      <c r="R12" s="6"/>
    </row>
    <row r="13" spans="1:18" ht="12.75" x14ac:dyDescent="0.2">
      <c r="A13" s="378" t="s">
        <v>340</v>
      </c>
      <c r="C13" s="373">
        <v>6.5100000000000005E-2</v>
      </c>
      <c r="E13" s="377"/>
      <c r="F13" s="377"/>
      <c r="G13" s="383">
        <f>+G11</f>
        <v>75864</v>
      </c>
      <c r="H13" s="383">
        <f>H12</f>
        <v>6322</v>
      </c>
      <c r="J13" s="455" t="s">
        <v>341</v>
      </c>
      <c r="R13" s="382"/>
    </row>
    <row r="14" spans="1:18" ht="12.75" x14ac:dyDescent="0.2">
      <c r="A14" s="378" t="s">
        <v>257</v>
      </c>
      <c r="C14" s="373">
        <v>6.7999999999999996E-3</v>
      </c>
      <c r="D14" s="380"/>
      <c r="E14" s="380"/>
      <c r="F14" s="380"/>
      <c r="G14" s="383">
        <f>+G11</f>
        <v>75864</v>
      </c>
      <c r="H14" s="383">
        <f>H13</f>
        <v>6322</v>
      </c>
      <c r="J14" s="384" t="s">
        <v>337</v>
      </c>
      <c r="K14" s="365" t="s">
        <v>342</v>
      </c>
    </row>
    <row r="15" spans="1:18" ht="12.75" x14ac:dyDescent="0.2">
      <c r="A15" s="365">
        <v>1</v>
      </c>
      <c r="B15" s="365" t="s">
        <v>42</v>
      </c>
      <c r="C15" s="373">
        <v>0</v>
      </c>
      <c r="D15" s="385" t="s">
        <v>32</v>
      </c>
      <c r="E15" s="380"/>
      <c r="F15" s="380"/>
      <c r="G15" s="377"/>
      <c r="H15" s="377"/>
      <c r="J15" s="455" t="s">
        <v>343</v>
      </c>
    </row>
    <row r="16" spans="1:18" x14ac:dyDescent="0.2">
      <c r="A16" s="365">
        <v>2</v>
      </c>
      <c r="B16" s="365" t="s">
        <v>258</v>
      </c>
      <c r="C16" s="373">
        <v>4.2999999999999997E-2</v>
      </c>
      <c r="D16" s="385" t="s">
        <v>33</v>
      </c>
      <c r="E16" s="380"/>
      <c r="F16" s="380"/>
      <c r="G16" s="377"/>
      <c r="H16" s="377"/>
      <c r="J16" s="377" t="s">
        <v>44</v>
      </c>
    </row>
    <row r="17" spans="1:40" x14ac:dyDescent="0.2">
      <c r="A17" s="365">
        <v>3</v>
      </c>
      <c r="B17" s="365" t="s">
        <v>38</v>
      </c>
      <c r="C17" s="373">
        <v>2.8000000000000001E-2</v>
      </c>
      <c r="D17" s="385" t="s">
        <v>34</v>
      </c>
      <c r="E17" s="380"/>
      <c r="F17" s="380"/>
      <c r="H17" s="377"/>
      <c r="J17" s="377" t="s">
        <v>44</v>
      </c>
      <c r="S17" s="7"/>
    </row>
    <row r="18" spans="1:40" x14ac:dyDescent="0.2">
      <c r="A18" s="365">
        <v>4</v>
      </c>
      <c r="B18" s="365" t="s">
        <v>39</v>
      </c>
      <c r="C18" s="373">
        <v>1.9E-2</v>
      </c>
      <c r="D18" s="385" t="s">
        <v>35</v>
      </c>
      <c r="E18" s="380"/>
      <c r="F18" s="380"/>
      <c r="H18" s="377"/>
      <c r="J18" s="377" t="s">
        <v>44</v>
      </c>
    </row>
    <row r="19" spans="1:40" x14ac:dyDescent="0.2">
      <c r="A19" s="365">
        <v>5</v>
      </c>
      <c r="B19" s="365" t="s">
        <v>40</v>
      </c>
      <c r="C19" s="373">
        <v>3.0000000000000001E-3</v>
      </c>
      <c r="D19" s="385" t="s">
        <v>57</v>
      </c>
      <c r="E19" s="380"/>
      <c r="F19" s="380"/>
      <c r="H19" s="377"/>
      <c r="J19" s="377" t="s">
        <v>44</v>
      </c>
    </row>
    <row r="20" spans="1:40" x14ac:dyDescent="0.2">
      <c r="A20" s="365">
        <v>6</v>
      </c>
      <c r="B20" s="365" t="s">
        <v>41</v>
      </c>
      <c r="C20" s="379">
        <v>1E-3</v>
      </c>
      <c r="D20" s="385" t="s">
        <v>58</v>
      </c>
      <c r="E20" s="380"/>
      <c r="F20" s="380"/>
      <c r="H20" s="377"/>
      <c r="J20" s="377" t="s">
        <v>44</v>
      </c>
    </row>
    <row r="21" spans="1:40" x14ac:dyDescent="0.2">
      <c r="A21" s="365">
        <v>7</v>
      </c>
      <c r="B21" s="365" t="s">
        <v>259</v>
      </c>
      <c r="C21" s="379">
        <v>0</v>
      </c>
      <c r="D21" s="385" t="s">
        <v>59</v>
      </c>
      <c r="E21" s="380"/>
      <c r="F21" s="380"/>
      <c r="H21" s="377"/>
      <c r="J21" s="377" t="s">
        <v>44</v>
      </c>
    </row>
    <row r="22" spans="1:40" x14ac:dyDescent="0.2">
      <c r="A22" s="386" t="s">
        <v>19</v>
      </c>
      <c r="C22" s="373">
        <v>8.9999999999999993E-3</v>
      </c>
      <c r="D22" s="380"/>
      <c r="E22" s="380"/>
      <c r="F22" s="380"/>
      <c r="H22" s="377"/>
      <c r="J22" s="377" t="s">
        <v>44</v>
      </c>
    </row>
    <row r="23" spans="1:40" x14ac:dyDescent="0.2">
      <c r="B23" s="365" t="s">
        <v>260</v>
      </c>
      <c r="C23" s="382">
        <f>SUM(C8:C15)+C22</f>
        <v>0.36839999999999995</v>
      </c>
      <c r="D23" s="382">
        <f>SUM(D8:D20)</f>
        <v>8.3699999999999997E-2</v>
      </c>
      <c r="E23" s="382">
        <f>SUM(C23:D23)</f>
        <v>0.45209999999999995</v>
      </c>
      <c r="J23" s="377"/>
    </row>
    <row r="24" spans="1:40" x14ac:dyDescent="0.2">
      <c r="J24" s="387"/>
      <c r="S24" s="5"/>
    </row>
    <row r="25" spans="1:40" x14ac:dyDescent="0.2">
      <c r="A25" s="370" t="s">
        <v>344</v>
      </c>
      <c r="B25" s="365" t="s">
        <v>261</v>
      </c>
      <c r="C25" s="381">
        <v>41.17</v>
      </c>
      <c r="G25" s="388"/>
    </row>
    <row r="26" spans="1:40" ht="12.75" x14ac:dyDescent="0.2">
      <c r="B26" s="365" t="s">
        <v>262</v>
      </c>
      <c r="C26" s="381">
        <v>36.119999999999997</v>
      </c>
      <c r="J26" s="455"/>
    </row>
    <row r="27" spans="1:40" x14ac:dyDescent="0.2">
      <c r="B27" s="365" t="s">
        <v>263</v>
      </c>
      <c r="C27" s="381">
        <v>65.760000000000005</v>
      </c>
    </row>
    <row r="28" spans="1:40" x14ac:dyDescent="0.2">
      <c r="B28" s="365" t="s">
        <v>264</v>
      </c>
      <c r="C28" s="381">
        <v>32.53</v>
      </c>
    </row>
    <row r="29" spans="1:40" x14ac:dyDescent="0.2">
      <c r="C29" s="389"/>
    </row>
    <row r="30" spans="1:40" hidden="1" x14ac:dyDescent="0.2">
      <c r="A30" s="370" t="s">
        <v>49</v>
      </c>
      <c r="C30" s="390">
        <v>0</v>
      </c>
      <c r="E30" s="391"/>
      <c r="F30" s="391"/>
      <c r="G30" s="391"/>
      <c r="H30" s="391"/>
      <c r="I30" s="391"/>
      <c r="J30" s="391"/>
      <c r="K30" s="391"/>
      <c r="L30" s="391"/>
      <c r="M30" s="391"/>
      <c r="N30" s="391"/>
      <c r="O30" s="391"/>
      <c r="X30" s="365"/>
      <c r="Y30" s="365"/>
      <c r="AM30" s="366"/>
      <c r="AN30" s="366"/>
    </row>
    <row r="31" spans="1:40" hidden="1" x14ac:dyDescent="0.2">
      <c r="A31" s="370" t="s">
        <v>66</v>
      </c>
      <c r="C31" s="392">
        <v>0</v>
      </c>
      <c r="E31" s="391"/>
      <c r="F31" s="391"/>
      <c r="G31" s="391"/>
      <c r="H31" s="391"/>
      <c r="I31" s="391"/>
      <c r="J31" s="391"/>
      <c r="K31" s="391"/>
      <c r="L31" s="391"/>
      <c r="M31" s="391"/>
      <c r="N31" s="391"/>
      <c r="O31" s="391"/>
    </row>
    <row r="32" spans="1:40" hidden="1" x14ac:dyDescent="0.2">
      <c r="E32" s="391"/>
      <c r="F32" s="391"/>
      <c r="G32" s="391"/>
      <c r="H32" s="391"/>
      <c r="I32" s="391"/>
      <c r="J32" s="391"/>
      <c r="K32" s="391"/>
      <c r="L32" s="391"/>
      <c r="M32" s="391"/>
      <c r="N32" s="391"/>
      <c r="O32" s="391"/>
    </row>
    <row r="33" spans="1:15" x14ac:dyDescent="0.2">
      <c r="A33" s="393" t="s">
        <v>265</v>
      </c>
      <c r="D33" s="394">
        <v>0.08</v>
      </c>
      <c r="E33" s="391"/>
      <c r="F33" s="391"/>
      <c r="G33" s="391"/>
      <c r="H33" s="391"/>
      <c r="I33" s="391"/>
      <c r="J33" s="391"/>
      <c r="K33" s="391"/>
      <c r="L33" s="391"/>
      <c r="M33" s="391"/>
      <c r="N33" s="391"/>
      <c r="O33" s="391"/>
    </row>
    <row r="34" spans="1:15" x14ac:dyDescent="0.2">
      <c r="D34" s="395"/>
      <c r="L34" s="396"/>
      <c r="M34" s="397"/>
    </row>
    <row r="35" spans="1:15" x14ac:dyDescent="0.2">
      <c r="A35" s="370" t="s">
        <v>22</v>
      </c>
      <c r="B35" s="370"/>
      <c r="D35" s="381">
        <v>191.16</v>
      </c>
      <c r="E35" s="365" t="s">
        <v>345</v>
      </c>
      <c r="L35" s="396"/>
      <c r="M35" s="397"/>
    </row>
    <row r="36" spans="1:15" x14ac:dyDescent="0.2">
      <c r="A36" s="370" t="s">
        <v>20</v>
      </c>
      <c r="B36" s="370"/>
      <c r="D36" s="479">
        <v>8.3299999999999999E-2</v>
      </c>
    </row>
    <row r="37" spans="1:15" x14ac:dyDescent="0.2">
      <c r="A37" s="370"/>
      <c r="B37" s="365" t="s">
        <v>3</v>
      </c>
      <c r="C37" s="365" t="s">
        <v>346</v>
      </c>
      <c r="D37" s="479"/>
    </row>
    <row r="38" spans="1:15" x14ac:dyDescent="0.2">
      <c r="A38" s="571" t="s">
        <v>394</v>
      </c>
      <c r="B38" s="365">
        <v>1</v>
      </c>
      <c r="C38" s="365">
        <v>8</v>
      </c>
      <c r="D38" s="381">
        <v>136.66999999999999</v>
      </c>
    </row>
    <row r="39" spans="1:15" x14ac:dyDescent="0.2">
      <c r="A39" s="571"/>
      <c r="B39" s="365">
        <v>9</v>
      </c>
      <c r="C39" s="365">
        <v>17</v>
      </c>
      <c r="D39" s="381">
        <v>25.21</v>
      </c>
      <c r="L39" s="365" t="s">
        <v>316</v>
      </c>
    </row>
    <row r="40" spans="1:15" x14ac:dyDescent="0.2">
      <c r="B40" s="370"/>
      <c r="D40" s="389"/>
    </row>
    <row r="42" spans="1:15" x14ac:dyDescent="0.2">
      <c r="A42" s="370" t="s">
        <v>347</v>
      </c>
      <c r="B42" s="365" t="s">
        <v>62</v>
      </c>
      <c r="C42" s="398">
        <v>146.66999999999999</v>
      </c>
      <c r="D42" s="365" t="s">
        <v>348</v>
      </c>
    </row>
    <row r="43" spans="1:15" x14ac:dyDescent="0.2">
      <c r="A43" s="370"/>
      <c r="B43" s="365" t="s">
        <v>63</v>
      </c>
      <c r="C43" s="398">
        <v>146.66999999999999</v>
      </c>
    </row>
    <row r="44" spans="1:15" x14ac:dyDescent="0.2">
      <c r="A44" s="370"/>
      <c r="B44" s="365" t="s">
        <v>64</v>
      </c>
      <c r="C44" s="398">
        <v>73.33</v>
      </c>
    </row>
    <row r="45" spans="1:15" x14ac:dyDescent="0.2">
      <c r="A45" s="370"/>
      <c r="B45" s="365" t="s">
        <v>65</v>
      </c>
      <c r="C45" s="398">
        <v>0</v>
      </c>
    </row>
    <row r="46" spans="1:15" x14ac:dyDescent="0.2">
      <c r="A46" s="370"/>
      <c r="B46" s="365" t="s">
        <v>67</v>
      </c>
      <c r="C46" s="398">
        <v>220</v>
      </c>
    </row>
    <row r="47" spans="1:15" x14ac:dyDescent="0.2">
      <c r="A47" s="370"/>
      <c r="B47" s="365" t="s">
        <v>68</v>
      </c>
      <c r="C47" s="398">
        <v>220</v>
      </c>
    </row>
    <row r="48" spans="1:15" x14ac:dyDescent="0.2">
      <c r="A48" s="370"/>
      <c r="B48" s="365" t="s">
        <v>69</v>
      </c>
      <c r="C48" s="398">
        <v>110</v>
      </c>
    </row>
    <row r="49" spans="1:6" x14ac:dyDescent="0.2">
      <c r="A49" s="370"/>
      <c r="B49" s="365" t="s">
        <v>70</v>
      </c>
      <c r="C49" s="398">
        <v>0</v>
      </c>
    </row>
    <row r="50" spans="1:6" x14ac:dyDescent="0.2">
      <c r="A50" s="370"/>
      <c r="B50" s="365" t="s">
        <v>71</v>
      </c>
      <c r="C50" s="398">
        <v>0</v>
      </c>
    </row>
    <row r="52" spans="1:6" x14ac:dyDescent="0.2">
      <c r="A52" s="571" t="s">
        <v>395</v>
      </c>
      <c r="B52" s="365" t="s">
        <v>62</v>
      </c>
      <c r="C52" s="399" t="s">
        <v>266</v>
      </c>
      <c r="D52" s="398">
        <v>136.66999999999999</v>
      </c>
      <c r="F52" s="399"/>
    </row>
    <row r="53" spans="1:6" x14ac:dyDescent="0.2">
      <c r="A53" s="571"/>
      <c r="B53" s="365" t="s">
        <v>63</v>
      </c>
      <c r="C53" s="399" t="s">
        <v>324</v>
      </c>
      <c r="D53" s="398">
        <v>136.66999999999999</v>
      </c>
      <c r="F53" s="399"/>
    </row>
    <row r="54" spans="1:6" x14ac:dyDescent="0.2">
      <c r="B54" s="365" t="s">
        <v>64</v>
      </c>
      <c r="C54" s="399" t="s">
        <v>267</v>
      </c>
      <c r="D54" s="398">
        <v>136.66999999999999</v>
      </c>
      <c r="F54" s="399"/>
    </row>
    <row r="55" spans="1:6" x14ac:dyDescent="0.2">
      <c r="B55" s="365" t="s">
        <v>65</v>
      </c>
      <c r="C55" s="399" t="s">
        <v>268</v>
      </c>
      <c r="D55" s="398">
        <v>136.66999999999999</v>
      </c>
      <c r="F55" s="399"/>
    </row>
    <row r="56" spans="1:6" x14ac:dyDescent="0.2">
      <c r="B56" s="365" t="s">
        <v>67</v>
      </c>
      <c r="C56" s="399" t="s">
        <v>325</v>
      </c>
      <c r="D56" s="398">
        <v>136.66999999999999</v>
      </c>
      <c r="F56" s="399"/>
    </row>
    <row r="57" spans="1:6" x14ac:dyDescent="0.2">
      <c r="B57" s="365" t="s">
        <v>68</v>
      </c>
      <c r="C57" s="399" t="s">
        <v>269</v>
      </c>
      <c r="D57" s="398">
        <v>136.66999999999999</v>
      </c>
      <c r="F57" s="399"/>
    </row>
    <row r="58" spans="1:6" x14ac:dyDescent="0.2">
      <c r="B58" s="365" t="s">
        <v>69</v>
      </c>
      <c r="C58" s="399" t="s">
        <v>270</v>
      </c>
      <c r="D58" s="398">
        <v>136.66999999999999</v>
      </c>
      <c r="F58" s="399"/>
    </row>
    <row r="59" spans="1:6" x14ac:dyDescent="0.2">
      <c r="B59" s="365" t="s">
        <v>70</v>
      </c>
      <c r="C59" s="399" t="s">
        <v>271</v>
      </c>
      <c r="D59" s="398">
        <v>136.66999999999999</v>
      </c>
      <c r="F59" s="399"/>
    </row>
    <row r="60" spans="1:6" x14ac:dyDescent="0.2">
      <c r="B60" s="365" t="s">
        <v>71</v>
      </c>
      <c r="C60" s="399" t="s">
        <v>272</v>
      </c>
      <c r="D60" s="398">
        <v>136.66999999999999</v>
      </c>
      <c r="F60" s="399"/>
    </row>
    <row r="61" spans="1:6" x14ac:dyDescent="0.2">
      <c r="B61" s="365" t="s">
        <v>261</v>
      </c>
      <c r="C61" s="400" t="s">
        <v>273</v>
      </c>
      <c r="D61" s="398">
        <v>136.66999999999999</v>
      </c>
      <c r="F61" s="399"/>
    </row>
    <row r="62" spans="1:6" x14ac:dyDescent="0.2">
      <c r="B62" s="365" t="s">
        <v>262</v>
      </c>
      <c r="C62" s="400" t="s">
        <v>274</v>
      </c>
      <c r="D62" s="398">
        <v>136.66999999999999</v>
      </c>
      <c r="F62" s="399"/>
    </row>
    <row r="63" spans="1:6" x14ac:dyDescent="0.2">
      <c r="B63" s="365" t="s">
        <v>263</v>
      </c>
      <c r="C63" s="400" t="s">
        <v>275</v>
      </c>
      <c r="D63" s="398">
        <v>136.66999999999999</v>
      </c>
      <c r="F63" s="399"/>
    </row>
    <row r="64" spans="1:6" x14ac:dyDescent="0.2">
      <c r="B64" s="365" t="s">
        <v>264</v>
      </c>
      <c r="C64" s="400" t="s">
        <v>276</v>
      </c>
      <c r="D64" s="398">
        <v>136.66999999999999</v>
      </c>
      <c r="F64" s="399"/>
    </row>
    <row r="65" spans="1:23" x14ac:dyDescent="0.2">
      <c r="B65" s="365">
        <v>9</v>
      </c>
      <c r="C65" s="400" t="str">
        <f>X106</f>
        <v>910</v>
      </c>
      <c r="D65" s="398">
        <v>136.66999999999999</v>
      </c>
      <c r="F65" s="399"/>
    </row>
    <row r="66" spans="1:23" x14ac:dyDescent="0.2">
      <c r="B66" s="365">
        <v>10</v>
      </c>
      <c r="C66" s="400" t="str">
        <f t="shared" ref="C66:C73" si="0">X107</f>
        <v>1013</v>
      </c>
      <c r="D66" s="398">
        <v>136.66999999999999</v>
      </c>
      <c r="F66" s="399"/>
    </row>
    <row r="67" spans="1:23" x14ac:dyDescent="0.2">
      <c r="B67" s="365">
        <v>11</v>
      </c>
      <c r="C67" s="400" t="str">
        <f t="shared" si="0"/>
        <v>1112</v>
      </c>
      <c r="D67" s="398">
        <v>136.66999999999999</v>
      </c>
      <c r="F67" s="399"/>
    </row>
    <row r="68" spans="1:23" x14ac:dyDescent="0.2">
      <c r="B68" s="365">
        <v>12</v>
      </c>
      <c r="C68" s="400" t="str">
        <f t="shared" si="0"/>
        <v>1212</v>
      </c>
      <c r="D68" s="398">
        <v>136.66999999999999</v>
      </c>
      <c r="F68" s="399"/>
    </row>
    <row r="69" spans="1:23" x14ac:dyDescent="0.2">
      <c r="B69" s="365">
        <v>13</v>
      </c>
      <c r="C69" s="400" t="str">
        <f t="shared" si="0"/>
        <v>1313</v>
      </c>
      <c r="D69" s="398">
        <v>136.66999999999999</v>
      </c>
      <c r="F69" s="399"/>
    </row>
    <row r="70" spans="1:23" x14ac:dyDescent="0.2">
      <c r="B70" s="365">
        <v>14</v>
      </c>
      <c r="C70" s="400" t="str">
        <f t="shared" si="0"/>
        <v>1411</v>
      </c>
      <c r="D70" s="398">
        <v>136.66999999999999</v>
      </c>
      <c r="F70" s="399"/>
    </row>
    <row r="71" spans="1:23" x14ac:dyDescent="0.2">
      <c r="B71" s="365">
        <v>15</v>
      </c>
      <c r="C71" s="400" t="str">
        <f t="shared" si="0"/>
        <v>1512</v>
      </c>
      <c r="D71" s="398">
        <v>136.66999999999999</v>
      </c>
      <c r="F71" s="399"/>
    </row>
    <row r="72" spans="1:23" x14ac:dyDescent="0.2">
      <c r="B72" s="365">
        <v>16</v>
      </c>
      <c r="C72" s="400" t="str">
        <f t="shared" si="0"/>
        <v>1612</v>
      </c>
      <c r="D72" s="398">
        <v>136.66999999999999</v>
      </c>
      <c r="F72" s="399"/>
    </row>
    <row r="73" spans="1:23" x14ac:dyDescent="0.2">
      <c r="B73" s="365">
        <v>17</v>
      </c>
      <c r="C73" s="400" t="str">
        <f t="shared" si="0"/>
        <v>1712</v>
      </c>
      <c r="D73" s="398">
        <v>136.66999999999999</v>
      </c>
      <c r="F73" s="399"/>
    </row>
    <row r="74" spans="1:23" x14ac:dyDescent="0.2">
      <c r="D74" s="383"/>
    </row>
    <row r="75" spans="1:23" x14ac:dyDescent="0.2">
      <c r="A75" s="370"/>
      <c r="B75" s="365" t="s">
        <v>80</v>
      </c>
    </row>
    <row r="76" spans="1:23" x14ac:dyDescent="0.2">
      <c r="A76" s="370"/>
      <c r="B76" s="365" t="s">
        <v>72</v>
      </c>
    </row>
    <row r="77" spans="1:23" x14ac:dyDescent="0.2">
      <c r="A77" s="401"/>
    </row>
    <row r="78" spans="1:23" x14ac:dyDescent="0.2">
      <c r="A78" s="402"/>
    </row>
    <row r="80" spans="1:23" x14ac:dyDescent="0.2">
      <c r="A80" s="403" t="s">
        <v>0</v>
      </c>
      <c r="B80" s="404" t="s">
        <v>317</v>
      </c>
      <c r="C80" s="403"/>
      <c r="D80" s="403"/>
      <c r="E80" s="403"/>
      <c r="F80" s="480" t="s">
        <v>349</v>
      </c>
      <c r="G80" s="481">
        <v>45658</v>
      </c>
      <c r="H80" s="482">
        <v>2446.44</v>
      </c>
      <c r="I80" s="365" t="s">
        <v>350</v>
      </c>
      <c r="J80" s="407"/>
      <c r="K80" s="407"/>
      <c r="L80" s="407"/>
      <c r="M80" s="407"/>
      <c r="N80" s="407"/>
      <c r="O80" s="407"/>
      <c r="P80" s="407"/>
      <c r="Q80" s="407"/>
      <c r="R80" s="407"/>
      <c r="S80" s="407"/>
      <c r="T80" s="407"/>
      <c r="U80" s="407"/>
      <c r="V80" s="408"/>
      <c r="W80" s="405"/>
    </row>
    <row r="81" spans="1:39" ht="12.75" x14ac:dyDescent="0.2">
      <c r="A81" s="403"/>
      <c r="B81" s="409" t="s">
        <v>277</v>
      </c>
      <c r="C81" s="409" t="s">
        <v>278</v>
      </c>
      <c r="D81" s="409" t="s">
        <v>279</v>
      </c>
      <c r="E81" s="409" t="s">
        <v>280</v>
      </c>
      <c r="F81"/>
      <c r="G81" s="405"/>
      <c r="H81" s="406"/>
      <c r="I81" s="407"/>
      <c r="J81" s="407"/>
      <c r="K81" s="407"/>
      <c r="L81" s="407"/>
      <c r="M81" s="407"/>
      <c r="N81" s="407"/>
      <c r="O81" s="407"/>
      <c r="P81" s="407"/>
      <c r="Q81" s="407"/>
      <c r="R81" s="407"/>
      <c r="S81" s="407"/>
      <c r="T81" s="407"/>
      <c r="U81" s="407"/>
      <c r="V81" s="408"/>
      <c r="W81" s="405"/>
    </row>
    <row r="82" spans="1:39" x14ac:dyDescent="0.2">
      <c r="A82" s="409" t="s">
        <v>281</v>
      </c>
      <c r="B82" s="409">
        <v>-3</v>
      </c>
      <c r="C82" s="409">
        <v>-2</v>
      </c>
      <c r="D82" s="409">
        <v>-1</v>
      </c>
      <c r="E82" s="409">
        <v>0</v>
      </c>
      <c r="F82" s="410">
        <v>1</v>
      </c>
      <c r="G82" s="410">
        <v>2</v>
      </c>
      <c r="H82" s="410">
        <v>3</v>
      </c>
      <c r="I82" s="410">
        <v>4</v>
      </c>
      <c r="J82" s="410">
        <v>5</v>
      </c>
      <c r="K82" s="410">
        <v>6</v>
      </c>
      <c r="L82" s="410">
        <v>7</v>
      </c>
      <c r="M82" s="410">
        <v>8</v>
      </c>
      <c r="N82" s="410">
        <v>9</v>
      </c>
      <c r="O82" s="410">
        <v>10</v>
      </c>
      <c r="P82" s="410">
        <v>11</v>
      </c>
      <c r="Q82" s="410">
        <v>12</v>
      </c>
      <c r="R82" s="410">
        <v>13</v>
      </c>
      <c r="S82" s="410">
        <v>14</v>
      </c>
      <c r="T82" s="410">
        <v>15</v>
      </c>
      <c r="U82" s="410">
        <v>16</v>
      </c>
      <c r="V82" s="411" t="s">
        <v>282</v>
      </c>
      <c r="W82" s="405" t="s">
        <v>283</v>
      </c>
    </row>
    <row r="83" spans="1:39" ht="12.75" x14ac:dyDescent="0.2">
      <c r="A83" s="412" t="s">
        <v>62</v>
      </c>
      <c r="B83" s="413"/>
      <c r="C83" s="413"/>
      <c r="D83" s="413"/>
      <c r="E83" s="413"/>
      <c r="F83" s="413">
        <v>3179</v>
      </c>
      <c r="G83" s="413">
        <v>3498</v>
      </c>
      <c r="H83" s="413">
        <v>3666</v>
      </c>
      <c r="I83" s="413">
        <v>3852</v>
      </c>
      <c r="J83" s="413">
        <v>4016</v>
      </c>
      <c r="K83" s="413">
        <v>4179</v>
      </c>
      <c r="L83" s="413">
        <v>4335</v>
      </c>
      <c r="M83" s="413">
        <v>4489</v>
      </c>
      <c r="N83" s="413">
        <v>4656</v>
      </c>
      <c r="O83" s="413">
        <v>4804</v>
      </c>
      <c r="P83" s="413">
        <v>4957</v>
      </c>
      <c r="Q83" s="413">
        <v>5106</v>
      </c>
      <c r="R83" s="413">
        <v>5277</v>
      </c>
      <c r="S83" s="413"/>
      <c r="T83" s="413"/>
      <c r="U83" s="414"/>
      <c r="V83" s="415">
        <v>13</v>
      </c>
      <c r="W83" s="405" t="s">
        <v>284</v>
      </c>
      <c r="X83" s="416" t="str">
        <f>A83&amp;V83</f>
        <v>A1013</v>
      </c>
      <c r="Y83" s="417">
        <f>1</f>
        <v>1</v>
      </c>
    </row>
    <row r="84" spans="1:39" ht="12.75" x14ac:dyDescent="0.2">
      <c r="A84" s="412" t="s">
        <v>63</v>
      </c>
      <c r="B84" s="413"/>
      <c r="C84" s="413"/>
      <c r="D84" s="413"/>
      <c r="E84" s="413"/>
      <c r="F84" s="413">
        <v>3484</v>
      </c>
      <c r="G84" s="413">
        <v>3649</v>
      </c>
      <c r="H84" s="413">
        <v>3838</v>
      </c>
      <c r="I84" s="413">
        <v>4028</v>
      </c>
      <c r="J84" s="413">
        <v>4216</v>
      </c>
      <c r="K84" s="413">
        <v>4426</v>
      </c>
      <c r="L84" s="413">
        <v>4659</v>
      </c>
      <c r="M84" s="413">
        <v>4912</v>
      </c>
      <c r="N84" s="413">
        <v>5189</v>
      </c>
      <c r="O84" s="413">
        <v>5487</v>
      </c>
      <c r="P84" s="413">
        <v>5807</v>
      </c>
      <c r="Q84" s="413">
        <v>6149</v>
      </c>
      <c r="R84" s="413"/>
      <c r="S84" s="413"/>
      <c r="T84" s="413"/>
      <c r="U84" s="414"/>
      <c r="V84" s="415">
        <v>12</v>
      </c>
      <c r="W84" s="405" t="s">
        <v>284</v>
      </c>
      <c r="X84" s="416" t="str">
        <f t="shared" ref="X84:X114" si="1">A84&amp;V84</f>
        <v>A1112</v>
      </c>
      <c r="Y84" s="417">
        <f>1</f>
        <v>1</v>
      </c>
    </row>
    <row r="85" spans="1:39" ht="12.75" x14ac:dyDescent="0.2">
      <c r="A85" s="412" t="s">
        <v>64</v>
      </c>
      <c r="B85" s="413"/>
      <c r="C85" s="413"/>
      <c r="D85" s="413"/>
      <c r="E85" s="413"/>
      <c r="F85" s="413">
        <v>3497</v>
      </c>
      <c r="G85" s="413">
        <v>3704</v>
      </c>
      <c r="H85" s="413">
        <v>3943</v>
      </c>
      <c r="I85" s="413">
        <v>4183</v>
      </c>
      <c r="J85" s="413">
        <v>4423</v>
      </c>
      <c r="K85" s="413">
        <v>4694</v>
      </c>
      <c r="L85" s="413">
        <v>4995</v>
      </c>
      <c r="M85" s="413">
        <v>5332</v>
      </c>
      <c r="N85" s="413">
        <v>5697</v>
      </c>
      <c r="O85" s="413">
        <v>6098</v>
      </c>
      <c r="P85" s="413">
        <v>6528</v>
      </c>
      <c r="Q85" s="413">
        <v>6992</v>
      </c>
      <c r="R85" s="413"/>
      <c r="S85" s="413"/>
      <c r="T85" s="413"/>
      <c r="U85" s="414"/>
      <c r="V85" s="415">
        <v>12</v>
      </c>
      <c r="W85" s="405" t="s">
        <v>284</v>
      </c>
      <c r="X85" s="416" t="str">
        <f t="shared" si="1"/>
        <v>A1212</v>
      </c>
      <c r="Y85" s="417">
        <f>1</f>
        <v>1</v>
      </c>
    </row>
    <row r="86" spans="1:39" ht="12.75" x14ac:dyDescent="0.2">
      <c r="A86" s="412" t="s">
        <v>65</v>
      </c>
      <c r="B86" s="413"/>
      <c r="C86" s="413"/>
      <c r="D86" s="413"/>
      <c r="E86" s="413"/>
      <c r="F86" s="413">
        <v>5441</v>
      </c>
      <c r="G86" s="413">
        <v>5630</v>
      </c>
      <c r="H86" s="413">
        <v>5820</v>
      </c>
      <c r="I86" s="413">
        <v>6009</v>
      </c>
      <c r="J86" s="413">
        <v>6197</v>
      </c>
      <c r="K86" s="413">
        <v>6388</v>
      </c>
      <c r="L86" s="413">
        <v>6576</v>
      </c>
      <c r="M86" s="413">
        <v>6765</v>
      </c>
      <c r="N86" s="413">
        <v>6954</v>
      </c>
      <c r="O86" s="413">
        <v>7143</v>
      </c>
      <c r="P86" s="413">
        <v>7333</v>
      </c>
      <c r="Q86" s="413">
        <v>7521</v>
      </c>
      <c r="R86" s="413">
        <v>7710</v>
      </c>
      <c r="S86" s="413"/>
      <c r="T86" s="413"/>
      <c r="U86" s="414"/>
      <c r="V86" s="415">
        <v>13</v>
      </c>
      <c r="W86" s="405" t="s">
        <v>284</v>
      </c>
      <c r="X86" s="416" t="str">
        <f t="shared" si="1"/>
        <v>A1313</v>
      </c>
      <c r="Y86" s="417">
        <f>1</f>
        <v>1</v>
      </c>
    </row>
    <row r="87" spans="1:39" ht="12.75" x14ac:dyDescent="0.2">
      <c r="A87" s="418" t="s">
        <v>67</v>
      </c>
      <c r="B87" s="413"/>
      <c r="C87" s="413"/>
      <c r="D87" s="413"/>
      <c r="E87" s="413"/>
      <c r="F87" s="413">
        <v>3484</v>
      </c>
      <c r="G87" s="413">
        <v>3649</v>
      </c>
      <c r="H87" s="413">
        <v>3838</v>
      </c>
      <c r="I87" s="413">
        <v>4028</v>
      </c>
      <c r="J87" s="413">
        <v>4216</v>
      </c>
      <c r="K87" s="413">
        <v>4426</v>
      </c>
      <c r="L87" s="413">
        <v>4659</v>
      </c>
      <c r="M87" s="413">
        <v>4912</v>
      </c>
      <c r="N87" s="413">
        <v>5189</v>
      </c>
      <c r="O87" s="413">
        <v>5487</v>
      </c>
      <c r="P87" s="413">
        <v>5807</v>
      </c>
      <c r="Q87" s="413">
        <v>6149</v>
      </c>
      <c r="R87" s="413"/>
      <c r="S87" s="413"/>
      <c r="T87" s="413"/>
      <c r="U87" s="413"/>
      <c r="V87" s="419">
        <v>12</v>
      </c>
      <c r="W87" s="405" t="s">
        <v>284</v>
      </c>
      <c r="X87" s="416" t="str">
        <f t="shared" si="1"/>
        <v>D1112</v>
      </c>
      <c r="Y87" s="417">
        <f>1</f>
        <v>1</v>
      </c>
    </row>
    <row r="88" spans="1:39" ht="12.75" x14ac:dyDescent="0.2">
      <c r="A88" s="418" t="s">
        <v>68</v>
      </c>
      <c r="B88" s="413"/>
      <c r="C88" s="413"/>
      <c r="D88" s="413"/>
      <c r="E88" s="413"/>
      <c r="F88" s="413">
        <v>3497</v>
      </c>
      <c r="G88" s="413">
        <v>3704</v>
      </c>
      <c r="H88" s="413">
        <v>3943</v>
      </c>
      <c r="I88" s="413">
        <v>4183</v>
      </c>
      <c r="J88" s="413">
        <v>4423</v>
      </c>
      <c r="K88" s="413">
        <v>4694</v>
      </c>
      <c r="L88" s="413">
        <v>4995</v>
      </c>
      <c r="M88" s="413">
        <v>5332</v>
      </c>
      <c r="N88" s="413">
        <v>5697</v>
      </c>
      <c r="O88" s="413">
        <v>6098</v>
      </c>
      <c r="P88" s="413">
        <v>6528</v>
      </c>
      <c r="Q88" s="413">
        <v>6992</v>
      </c>
      <c r="R88" s="413"/>
      <c r="S88" s="413"/>
      <c r="T88" s="413"/>
      <c r="U88" s="413"/>
      <c r="V88" s="419">
        <v>12</v>
      </c>
      <c r="W88" s="405" t="s">
        <v>284</v>
      </c>
      <c r="X88" s="416" t="str">
        <f t="shared" si="1"/>
        <v>D1212</v>
      </c>
      <c r="Y88" s="417">
        <f>1</f>
        <v>1</v>
      </c>
    </row>
    <row r="89" spans="1:39" ht="12.75" x14ac:dyDescent="0.2">
      <c r="A89" s="418" t="s">
        <v>69</v>
      </c>
      <c r="B89" s="413"/>
      <c r="C89" s="413"/>
      <c r="D89" s="413"/>
      <c r="E89" s="413"/>
      <c r="F89" s="413">
        <v>5441</v>
      </c>
      <c r="G89" s="413">
        <v>5630</v>
      </c>
      <c r="H89" s="413">
        <v>5820</v>
      </c>
      <c r="I89" s="413">
        <v>6009</v>
      </c>
      <c r="J89" s="413">
        <v>6197</v>
      </c>
      <c r="K89" s="413">
        <v>6388</v>
      </c>
      <c r="L89" s="413">
        <v>6576</v>
      </c>
      <c r="M89" s="413">
        <v>6765</v>
      </c>
      <c r="N89" s="413">
        <v>6954</v>
      </c>
      <c r="O89" s="413">
        <v>7143</v>
      </c>
      <c r="P89" s="413">
        <v>7333</v>
      </c>
      <c r="Q89" s="413">
        <v>7521</v>
      </c>
      <c r="R89" s="413">
        <v>7710</v>
      </c>
      <c r="S89" s="413"/>
      <c r="T89" s="413"/>
      <c r="U89" s="413"/>
      <c r="V89" s="419">
        <v>13</v>
      </c>
      <c r="W89" s="405" t="s">
        <v>284</v>
      </c>
      <c r="X89" s="416" t="str">
        <f t="shared" si="1"/>
        <v>D1313</v>
      </c>
      <c r="Y89" s="417">
        <f>1</f>
        <v>1</v>
      </c>
    </row>
    <row r="90" spans="1:39" ht="12.75" x14ac:dyDescent="0.2">
      <c r="A90" s="418" t="s">
        <v>70</v>
      </c>
      <c r="B90" s="413"/>
      <c r="C90" s="413"/>
      <c r="D90" s="413"/>
      <c r="E90" s="413"/>
      <c r="F90" s="413">
        <v>6230</v>
      </c>
      <c r="G90" s="413">
        <v>6387</v>
      </c>
      <c r="H90" s="413">
        <v>6696</v>
      </c>
      <c r="I90" s="413">
        <v>6892</v>
      </c>
      <c r="J90" s="413">
        <v>7090</v>
      </c>
      <c r="K90" s="413">
        <v>7286</v>
      </c>
      <c r="L90" s="413">
        <v>7484</v>
      </c>
      <c r="M90" s="413">
        <v>7683</v>
      </c>
      <c r="N90" s="413">
        <v>7890</v>
      </c>
      <c r="O90" s="413">
        <v>8105</v>
      </c>
      <c r="P90" s="413">
        <v>8325</v>
      </c>
      <c r="Q90" s="413"/>
      <c r="R90" s="413"/>
      <c r="S90" s="413"/>
      <c r="T90" s="413"/>
      <c r="U90" s="413"/>
      <c r="V90" s="419">
        <v>11</v>
      </c>
      <c r="W90" s="405" t="s">
        <v>284</v>
      </c>
      <c r="X90" s="416" t="str">
        <f t="shared" si="1"/>
        <v>D1411</v>
      </c>
      <c r="Y90" s="417">
        <f>1</f>
        <v>1</v>
      </c>
    </row>
    <row r="91" spans="1:39" ht="12.75" x14ac:dyDescent="0.2">
      <c r="A91" s="418" t="s">
        <v>71</v>
      </c>
      <c r="B91" s="413"/>
      <c r="C91" s="413"/>
      <c r="D91" s="413"/>
      <c r="E91" s="413">
        <v>6091</v>
      </c>
      <c r="F91" s="413">
        <v>6541</v>
      </c>
      <c r="G91" s="413">
        <v>6696</v>
      </c>
      <c r="H91" s="413">
        <v>6892</v>
      </c>
      <c r="I91" s="413">
        <v>7286</v>
      </c>
      <c r="J91" s="413">
        <v>7484</v>
      </c>
      <c r="K91" s="413">
        <v>7683</v>
      </c>
      <c r="L91" s="413">
        <v>7891</v>
      </c>
      <c r="M91" s="413">
        <v>8105</v>
      </c>
      <c r="N91" s="413">
        <v>8325</v>
      </c>
      <c r="O91" s="413">
        <v>8588</v>
      </c>
      <c r="P91" s="413">
        <v>8862</v>
      </c>
      <c r="Q91" s="413">
        <v>9141</v>
      </c>
      <c r="R91" s="413"/>
      <c r="S91" s="413"/>
      <c r="T91" s="413"/>
      <c r="U91" s="413"/>
      <c r="V91" s="419">
        <v>12</v>
      </c>
      <c r="W91" s="405" t="s">
        <v>284</v>
      </c>
      <c r="X91" s="416" t="str">
        <f t="shared" si="1"/>
        <v>D1512</v>
      </c>
      <c r="Y91" s="417">
        <f>1</f>
        <v>1</v>
      </c>
    </row>
    <row r="92" spans="1:39" ht="12.75" x14ac:dyDescent="0.2">
      <c r="A92" s="412" t="s">
        <v>261</v>
      </c>
      <c r="B92" s="413"/>
      <c r="C92" s="413"/>
      <c r="D92" s="413"/>
      <c r="E92" s="413"/>
      <c r="F92" s="413">
        <v>3463</v>
      </c>
      <c r="G92" s="413">
        <v>3547</v>
      </c>
      <c r="H92" s="413">
        <v>3653</v>
      </c>
      <c r="I92" s="413">
        <v>3760</v>
      </c>
      <c r="J92" s="413">
        <v>3868</v>
      </c>
      <c r="K92" s="413">
        <v>4001</v>
      </c>
      <c r="L92" s="413">
        <v>4157</v>
      </c>
      <c r="M92" s="413">
        <v>4333</v>
      </c>
      <c r="N92" s="413">
        <v>4534</v>
      </c>
      <c r="O92" s="413">
        <v>4757</v>
      </c>
      <c r="P92" s="413">
        <v>5004</v>
      </c>
      <c r="Q92" s="413">
        <v>5277</v>
      </c>
      <c r="R92" s="420"/>
      <c r="S92" s="420"/>
      <c r="T92" s="420"/>
      <c r="U92" s="420"/>
      <c r="V92" s="419">
        <v>12</v>
      </c>
      <c r="W92" s="405" t="s">
        <v>286</v>
      </c>
      <c r="X92" s="416" t="str">
        <f t="shared" si="1"/>
        <v>LB12</v>
      </c>
      <c r="Y92" s="417">
        <f>1</f>
        <v>1</v>
      </c>
      <c r="Z92" s="421"/>
      <c r="AA92" s="421"/>
      <c r="AB92" s="421"/>
      <c r="AC92" s="421"/>
      <c r="AD92" s="421"/>
      <c r="AE92" s="421"/>
      <c r="AF92" s="421"/>
      <c r="AG92" s="421"/>
      <c r="AH92" s="421"/>
      <c r="AI92" s="421"/>
      <c r="AJ92" s="421"/>
      <c r="AK92" s="421"/>
      <c r="AL92" s="421"/>
      <c r="AM92" s="377"/>
    </row>
    <row r="93" spans="1:39" ht="12.75" x14ac:dyDescent="0.2">
      <c r="A93" s="408" t="s">
        <v>262</v>
      </c>
      <c r="B93" s="413"/>
      <c r="C93" s="413"/>
      <c r="D93" s="413"/>
      <c r="E93" s="413"/>
      <c r="F93" s="413">
        <v>3484</v>
      </c>
      <c r="G93" s="413">
        <v>3649</v>
      </c>
      <c r="H93" s="413">
        <v>3838</v>
      </c>
      <c r="I93" s="413">
        <v>4028</v>
      </c>
      <c r="J93" s="413">
        <v>4216</v>
      </c>
      <c r="K93" s="413">
        <v>4426</v>
      </c>
      <c r="L93" s="413">
        <v>4659</v>
      </c>
      <c r="M93" s="413">
        <v>4912</v>
      </c>
      <c r="N93" s="413">
        <v>5189</v>
      </c>
      <c r="O93" s="413">
        <v>5487</v>
      </c>
      <c r="P93" s="413">
        <v>5807</v>
      </c>
      <c r="Q93" s="413">
        <v>6149</v>
      </c>
      <c r="R93" s="420"/>
      <c r="S93" s="420"/>
      <c r="T93" s="420"/>
      <c r="U93" s="420"/>
      <c r="V93" s="419">
        <v>12</v>
      </c>
      <c r="W93" s="405" t="s">
        <v>286</v>
      </c>
      <c r="X93" s="416" t="str">
        <f t="shared" si="1"/>
        <v>LC12</v>
      </c>
      <c r="Y93" s="417">
        <f>1</f>
        <v>1</v>
      </c>
      <c r="Z93" s="421"/>
      <c r="AA93" s="421"/>
      <c r="AB93" s="421"/>
      <c r="AC93" s="421"/>
      <c r="AD93" s="421"/>
      <c r="AE93" s="421"/>
      <c r="AF93" s="421"/>
      <c r="AG93" s="421"/>
      <c r="AH93" s="421"/>
      <c r="AI93" s="421"/>
      <c r="AJ93" s="421"/>
      <c r="AK93" s="421"/>
      <c r="AL93" s="421"/>
      <c r="AM93" s="377"/>
    </row>
    <row r="94" spans="1:39" ht="12.75" x14ac:dyDescent="0.2">
      <c r="A94" s="408" t="s">
        <v>263</v>
      </c>
      <c r="B94" s="413"/>
      <c r="C94" s="413"/>
      <c r="D94" s="413"/>
      <c r="E94" s="413"/>
      <c r="F94" s="413">
        <v>3498</v>
      </c>
      <c r="G94" s="413">
        <v>3704</v>
      </c>
      <c r="H94" s="413">
        <v>3944</v>
      </c>
      <c r="I94" s="413">
        <v>4183</v>
      </c>
      <c r="J94" s="413">
        <v>4423</v>
      </c>
      <c r="K94" s="413">
        <v>4694</v>
      </c>
      <c r="L94" s="413">
        <v>4995</v>
      </c>
      <c r="M94" s="413">
        <v>5332</v>
      </c>
      <c r="N94" s="413">
        <v>5698</v>
      </c>
      <c r="O94" s="413">
        <v>6097</v>
      </c>
      <c r="P94" s="413">
        <v>6528</v>
      </c>
      <c r="Q94" s="413">
        <v>6992</v>
      </c>
      <c r="R94" s="420"/>
      <c r="S94" s="420"/>
      <c r="T94" s="422"/>
      <c r="U94" s="420"/>
      <c r="V94" s="419">
        <v>12</v>
      </c>
      <c r="W94" s="405" t="s">
        <v>286</v>
      </c>
      <c r="X94" s="416" t="str">
        <f t="shared" si="1"/>
        <v>LD12</v>
      </c>
      <c r="Y94" s="417">
        <f>1</f>
        <v>1</v>
      </c>
      <c r="Z94" s="421"/>
      <c r="AA94" s="421"/>
      <c r="AB94" s="421"/>
      <c r="AC94" s="421"/>
      <c r="AD94" s="421"/>
      <c r="AE94" s="421"/>
      <c r="AF94" s="421"/>
      <c r="AG94" s="421"/>
      <c r="AH94" s="421"/>
      <c r="AI94" s="421"/>
      <c r="AJ94" s="421"/>
      <c r="AK94" s="421"/>
      <c r="AL94" s="421"/>
      <c r="AM94" s="377"/>
    </row>
    <row r="95" spans="1:39" ht="13.5" customHeight="1" x14ac:dyDescent="0.2">
      <c r="A95" s="408" t="s">
        <v>264</v>
      </c>
      <c r="B95" s="413"/>
      <c r="C95" s="413"/>
      <c r="D95" s="413"/>
      <c r="E95" s="413"/>
      <c r="F95" s="413">
        <v>4489</v>
      </c>
      <c r="G95" s="413">
        <v>4656</v>
      </c>
      <c r="H95" s="413">
        <v>4804</v>
      </c>
      <c r="I95" s="413">
        <v>5106</v>
      </c>
      <c r="J95" s="413">
        <v>5441</v>
      </c>
      <c r="K95" s="413">
        <v>5747</v>
      </c>
      <c r="L95" s="413">
        <v>6051</v>
      </c>
      <c r="M95" s="413">
        <v>6357</v>
      </c>
      <c r="N95" s="413">
        <v>6662</v>
      </c>
      <c r="O95" s="413">
        <v>6966</v>
      </c>
      <c r="P95" s="413">
        <v>7271</v>
      </c>
      <c r="Q95" s="413">
        <v>7710</v>
      </c>
      <c r="R95" s="420"/>
      <c r="S95" s="420"/>
      <c r="T95" s="420"/>
      <c r="U95" s="420"/>
      <c r="V95" s="419">
        <v>12</v>
      </c>
      <c r="W95" s="405" t="s">
        <v>286</v>
      </c>
      <c r="X95" s="416" t="str">
        <f t="shared" si="1"/>
        <v>LE12</v>
      </c>
      <c r="Y95" s="417">
        <f>1</f>
        <v>1</v>
      </c>
    </row>
    <row r="96" spans="1:39" ht="12.75" x14ac:dyDescent="0.2">
      <c r="A96" s="418" t="s">
        <v>1</v>
      </c>
      <c r="B96" s="413"/>
      <c r="C96" s="413"/>
      <c r="D96" s="413"/>
      <c r="E96" s="413"/>
      <c r="F96" s="413">
        <v>1732</v>
      </c>
      <c r="G96" s="413"/>
      <c r="H96" s="413"/>
      <c r="I96" s="413"/>
      <c r="J96" s="413"/>
      <c r="K96" s="413"/>
      <c r="L96" s="413"/>
      <c r="M96" s="413"/>
      <c r="N96" s="413"/>
      <c r="O96" s="413"/>
      <c r="P96" s="413"/>
      <c r="Q96" s="413"/>
      <c r="R96" s="413"/>
      <c r="S96" s="413"/>
      <c r="T96" s="413"/>
      <c r="U96" s="420"/>
      <c r="V96" s="419">
        <v>1</v>
      </c>
      <c r="W96" s="405" t="s">
        <v>286</v>
      </c>
      <c r="X96" s="416" t="str">
        <f t="shared" si="1"/>
        <v>LIOa1</v>
      </c>
      <c r="Y96" s="417">
        <f>1</f>
        <v>1</v>
      </c>
    </row>
    <row r="97" spans="1:25" ht="12.75" x14ac:dyDescent="0.2">
      <c r="A97" s="418" t="s">
        <v>2</v>
      </c>
      <c r="B97" s="413"/>
      <c r="C97" s="413"/>
      <c r="D97" s="413"/>
      <c r="E97" s="413"/>
      <c r="F97" s="413">
        <v>1742</v>
      </c>
      <c r="G97" s="413"/>
      <c r="H97" s="413"/>
      <c r="I97" s="413"/>
      <c r="J97" s="413"/>
      <c r="K97" s="413"/>
      <c r="L97" s="413"/>
      <c r="M97" s="413"/>
      <c r="N97" s="413"/>
      <c r="O97" s="413"/>
      <c r="P97" s="413"/>
      <c r="Q97" s="413"/>
      <c r="R97" s="413"/>
      <c r="S97" s="413"/>
      <c r="T97" s="413"/>
      <c r="U97" s="420"/>
      <c r="V97" s="419">
        <v>1</v>
      </c>
      <c r="W97" s="405" t="s">
        <v>286</v>
      </c>
      <c r="X97" s="416" t="str">
        <f t="shared" si="1"/>
        <v>LIOb1</v>
      </c>
      <c r="Y97" s="417">
        <f>1</f>
        <v>1</v>
      </c>
    </row>
    <row r="98" spans="1:25" ht="12.75" x14ac:dyDescent="0.2">
      <c r="A98" s="418">
        <v>1</v>
      </c>
      <c r="B98" s="413"/>
      <c r="C98" s="413"/>
      <c r="D98" s="413"/>
      <c r="E98" s="413"/>
      <c r="F98" s="482">
        <v>2446.44</v>
      </c>
      <c r="G98" s="482">
        <v>2446.44</v>
      </c>
      <c r="H98" s="482">
        <v>2446.44</v>
      </c>
      <c r="I98" s="413">
        <v>2466</v>
      </c>
      <c r="J98" s="413">
        <v>2518</v>
      </c>
      <c r="K98" s="413">
        <v>2570</v>
      </c>
      <c r="L98" s="413">
        <v>2623</v>
      </c>
      <c r="M98" s="413"/>
      <c r="N98" s="413"/>
      <c r="O98" s="413"/>
      <c r="P98" s="413"/>
      <c r="Q98" s="413"/>
      <c r="R98" s="413"/>
      <c r="S98" s="413"/>
      <c r="T98" s="413"/>
      <c r="U98" s="420"/>
      <c r="V98" s="419">
        <v>7</v>
      </c>
      <c r="W98" s="405" t="s">
        <v>285</v>
      </c>
      <c r="X98" s="416" t="str">
        <f t="shared" si="1"/>
        <v>17</v>
      </c>
      <c r="Y98" s="417">
        <f>1</f>
        <v>1</v>
      </c>
    </row>
    <row r="99" spans="1:25" ht="12.75" x14ac:dyDescent="0.2">
      <c r="A99" s="418">
        <v>2</v>
      </c>
      <c r="B99" s="413"/>
      <c r="C99" s="413"/>
      <c r="D99" s="413"/>
      <c r="E99" s="413"/>
      <c r="F99" s="482">
        <v>2446.44</v>
      </c>
      <c r="G99" s="482">
        <v>2446.44</v>
      </c>
      <c r="H99" s="413">
        <v>2467</v>
      </c>
      <c r="I99" s="413">
        <v>2525</v>
      </c>
      <c r="J99" s="413">
        <v>2584</v>
      </c>
      <c r="K99" s="413">
        <v>2642</v>
      </c>
      <c r="L99" s="413">
        <v>2700</v>
      </c>
      <c r="M99" s="413">
        <v>2759</v>
      </c>
      <c r="N99" s="413"/>
      <c r="O99" s="413"/>
      <c r="P99" s="413"/>
      <c r="Q99" s="413"/>
      <c r="R99" s="413"/>
      <c r="S99" s="413"/>
      <c r="T99" s="413"/>
      <c r="U99" s="420"/>
      <c r="V99" s="419">
        <v>8</v>
      </c>
      <c r="W99" s="405" t="s">
        <v>285</v>
      </c>
      <c r="X99" s="416" t="str">
        <f t="shared" si="1"/>
        <v>28</v>
      </c>
      <c r="Y99" s="417">
        <f>1</f>
        <v>1</v>
      </c>
    </row>
    <row r="100" spans="1:25" ht="12.75" x14ac:dyDescent="0.2">
      <c r="A100" s="408">
        <v>3</v>
      </c>
      <c r="B100" s="413"/>
      <c r="C100" s="413"/>
      <c r="D100" s="413"/>
      <c r="E100" s="413"/>
      <c r="F100" s="482">
        <v>2446.44</v>
      </c>
      <c r="G100" s="413">
        <v>2461</v>
      </c>
      <c r="H100" s="413">
        <v>2535</v>
      </c>
      <c r="I100" s="413">
        <v>2609</v>
      </c>
      <c r="J100" s="413">
        <v>2683</v>
      </c>
      <c r="K100" s="413">
        <v>2757</v>
      </c>
      <c r="L100" s="413">
        <v>2831</v>
      </c>
      <c r="M100" s="413">
        <v>2905</v>
      </c>
      <c r="N100" s="413">
        <v>2979</v>
      </c>
      <c r="O100" s="413"/>
      <c r="P100" s="413"/>
      <c r="Q100" s="423"/>
      <c r="R100" s="423"/>
      <c r="S100" s="423"/>
      <c r="T100" s="423"/>
      <c r="U100" s="420"/>
      <c r="V100" s="419">
        <v>9</v>
      </c>
      <c r="W100" s="405" t="s">
        <v>285</v>
      </c>
      <c r="X100" s="416" t="str">
        <f t="shared" si="1"/>
        <v>39</v>
      </c>
      <c r="Y100" s="417">
        <f>1</f>
        <v>1</v>
      </c>
    </row>
    <row r="101" spans="1:25" ht="12.75" x14ac:dyDescent="0.2">
      <c r="A101" s="408">
        <v>4</v>
      </c>
      <c r="B101" s="413"/>
      <c r="C101" s="413"/>
      <c r="D101" s="413"/>
      <c r="E101" s="413"/>
      <c r="F101" s="482">
        <v>2446.44</v>
      </c>
      <c r="G101" s="413">
        <v>2484</v>
      </c>
      <c r="H101" s="413">
        <v>2555</v>
      </c>
      <c r="I101" s="413">
        <v>2627</v>
      </c>
      <c r="J101" s="413">
        <v>2698</v>
      </c>
      <c r="K101" s="413">
        <v>2769</v>
      </c>
      <c r="L101" s="413">
        <v>2841</v>
      </c>
      <c r="M101" s="413">
        <v>2912</v>
      </c>
      <c r="N101" s="413">
        <v>2983</v>
      </c>
      <c r="O101" s="413">
        <v>3055</v>
      </c>
      <c r="P101" s="413">
        <v>3126</v>
      </c>
      <c r="Q101" s="423"/>
      <c r="R101" s="423"/>
      <c r="S101" s="423"/>
      <c r="T101" s="423"/>
      <c r="U101" s="420"/>
      <c r="V101" s="419">
        <v>11</v>
      </c>
      <c r="W101" s="405" t="s">
        <v>285</v>
      </c>
      <c r="X101" s="416" t="str">
        <f t="shared" si="1"/>
        <v>411</v>
      </c>
      <c r="Y101" s="417">
        <f>1</f>
        <v>1</v>
      </c>
    </row>
    <row r="102" spans="1:25" ht="12.75" x14ac:dyDescent="0.2">
      <c r="A102" s="408">
        <v>5</v>
      </c>
      <c r="B102" s="413"/>
      <c r="C102" s="413"/>
      <c r="D102" s="413"/>
      <c r="E102" s="413"/>
      <c r="F102" s="482">
        <v>2446.44</v>
      </c>
      <c r="G102" s="413">
        <v>2521</v>
      </c>
      <c r="H102" s="413">
        <v>2604</v>
      </c>
      <c r="I102" s="413">
        <v>2686</v>
      </c>
      <c r="J102" s="413">
        <v>2768</v>
      </c>
      <c r="K102" s="413">
        <v>2851</v>
      </c>
      <c r="L102" s="413">
        <v>2933</v>
      </c>
      <c r="M102" s="413">
        <v>3015</v>
      </c>
      <c r="N102" s="413">
        <v>3098</v>
      </c>
      <c r="O102" s="413">
        <v>3180</v>
      </c>
      <c r="P102" s="413">
        <v>3262</v>
      </c>
      <c r="Q102" s="413"/>
      <c r="R102" s="413"/>
      <c r="S102" s="413"/>
      <c r="T102" s="413"/>
      <c r="U102" s="413"/>
      <c r="V102" s="419">
        <v>11</v>
      </c>
      <c r="W102" s="405" t="s">
        <v>285</v>
      </c>
      <c r="X102" s="416" t="str">
        <f t="shared" si="1"/>
        <v>511</v>
      </c>
      <c r="Y102" s="417">
        <f>1</f>
        <v>1</v>
      </c>
    </row>
    <row r="103" spans="1:25" ht="12.75" x14ac:dyDescent="0.2">
      <c r="A103" s="408">
        <v>6</v>
      </c>
      <c r="B103" s="413"/>
      <c r="C103" s="413"/>
      <c r="D103" s="413"/>
      <c r="E103" s="413"/>
      <c r="F103" s="413">
        <v>2554</v>
      </c>
      <c r="G103" s="413">
        <v>2644</v>
      </c>
      <c r="H103" s="413">
        <v>2734</v>
      </c>
      <c r="I103" s="413">
        <v>2823</v>
      </c>
      <c r="J103" s="413">
        <v>2913</v>
      </c>
      <c r="K103" s="413">
        <v>3003</v>
      </c>
      <c r="L103" s="413">
        <v>3092</v>
      </c>
      <c r="M103" s="413">
        <v>3182</v>
      </c>
      <c r="N103" s="413">
        <v>3272</v>
      </c>
      <c r="O103" s="413">
        <v>3362</v>
      </c>
      <c r="P103" s="413">
        <v>3451</v>
      </c>
      <c r="Q103" s="413"/>
      <c r="R103" s="413"/>
      <c r="S103" s="413"/>
      <c r="T103" s="413"/>
      <c r="U103" s="413"/>
      <c r="V103" s="419">
        <v>11</v>
      </c>
      <c r="W103" s="405" t="s">
        <v>285</v>
      </c>
      <c r="X103" s="416" t="str">
        <f t="shared" si="1"/>
        <v>611</v>
      </c>
      <c r="Y103" s="417">
        <f>1</f>
        <v>1</v>
      </c>
    </row>
    <row r="104" spans="1:25" ht="12.75" x14ac:dyDescent="0.2">
      <c r="A104" s="408">
        <v>7</v>
      </c>
      <c r="B104" s="413"/>
      <c r="C104" s="413"/>
      <c r="D104" s="413"/>
      <c r="E104" s="413"/>
      <c r="F104" s="413">
        <v>2675</v>
      </c>
      <c r="G104" s="413">
        <v>2774</v>
      </c>
      <c r="H104" s="413">
        <v>2873</v>
      </c>
      <c r="I104" s="413">
        <v>2972</v>
      </c>
      <c r="J104" s="413">
        <v>3071</v>
      </c>
      <c r="K104" s="413">
        <v>3170</v>
      </c>
      <c r="L104" s="413">
        <v>3269</v>
      </c>
      <c r="M104" s="413">
        <v>3368</v>
      </c>
      <c r="N104" s="413">
        <v>3467</v>
      </c>
      <c r="O104" s="413">
        <v>3566</v>
      </c>
      <c r="P104" s="413">
        <v>3665</v>
      </c>
      <c r="Q104" s="413">
        <v>3764</v>
      </c>
      <c r="R104" s="413"/>
      <c r="S104" s="413"/>
      <c r="T104" s="413"/>
      <c r="U104" s="413"/>
      <c r="V104" s="419">
        <v>12</v>
      </c>
      <c r="W104" s="405" t="s">
        <v>285</v>
      </c>
      <c r="X104" s="416" t="str">
        <f t="shared" si="1"/>
        <v>712</v>
      </c>
      <c r="Y104" s="417">
        <f>1</f>
        <v>1</v>
      </c>
    </row>
    <row r="105" spans="1:25" ht="12.75" x14ac:dyDescent="0.2">
      <c r="A105" s="408">
        <v>8</v>
      </c>
      <c r="B105" s="413"/>
      <c r="C105" s="413"/>
      <c r="D105" s="413"/>
      <c r="E105" s="413"/>
      <c r="F105" s="413">
        <v>2889</v>
      </c>
      <c r="G105" s="413">
        <v>3013</v>
      </c>
      <c r="H105" s="413">
        <v>3137</v>
      </c>
      <c r="I105" s="413">
        <v>3261</v>
      </c>
      <c r="J105" s="413">
        <v>3385</v>
      </c>
      <c r="K105" s="413">
        <v>3509</v>
      </c>
      <c r="L105" s="413">
        <v>3633</v>
      </c>
      <c r="M105" s="413">
        <v>3757</v>
      </c>
      <c r="N105" s="413">
        <v>3881</v>
      </c>
      <c r="O105" s="413">
        <v>4006</v>
      </c>
      <c r="P105" s="413">
        <v>4130</v>
      </c>
      <c r="Q105" s="413">
        <v>4254</v>
      </c>
      <c r="R105" s="413">
        <v>4254</v>
      </c>
      <c r="S105" s="413"/>
      <c r="T105" s="413"/>
      <c r="U105" s="413"/>
      <c r="V105" s="419">
        <v>13</v>
      </c>
      <c r="W105" s="405" t="s">
        <v>285</v>
      </c>
      <c r="X105" s="416" t="str">
        <f t="shared" si="1"/>
        <v>813</v>
      </c>
      <c r="Y105" s="417">
        <f>1</f>
        <v>1</v>
      </c>
    </row>
    <row r="106" spans="1:25" ht="12.75" x14ac:dyDescent="0.2">
      <c r="A106" s="408">
        <v>9</v>
      </c>
      <c r="B106" s="413"/>
      <c r="C106" s="413"/>
      <c r="D106" s="413"/>
      <c r="E106" s="413"/>
      <c r="F106" s="413">
        <v>3179</v>
      </c>
      <c r="G106" s="413">
        <v>3342</v>
      </c>
      <c r="H106" s="413">
        <v>3666</v>
      </c>
      <c r="I106" s="413">
        <v>3852</v>
      </c>
      <c r="J106" s="413">
        <v>4016</v>
      </c>
      <c r="K106" s="413">
        <v>4179</v>
      </c>
      <c r="L106" s="413">
        <v>4335</v>
      </c>
      <c r="M106" s="413">
        <v>4489</v>
      </c>
      <c r="N106" s="413">
        <v>4656</v>
      </c>
      <c r="O106" s="413">
        <v>4804</v>
      </c>
      <c r="P106" s="413"/>
      <c r="Q106" s="413"/>
      <c r="R106" s="413"/>
      <c r="S106" s="413"/>
      <c r="T106" s="413"/>
      <c r="U106" s="413"/>
      <c r="V106" s="419">
        <v>10</v>
      </c>
      <c r="W106" s="405" t="s">
        <v>285</v>
      </c>
      <c r="X106" s="416" t="str">
        <f t="shared" si="1"/>
        <v>910</v>
      </c>
      <c r="Y106" s="417">
        <f>1</f>
        <v>1</v>
      </c>
    </row>
    <row r="107" spans="1:25" ht="12.75" x14ac:dyDescent="0.2">
      <c r="A107" s="408">
        <v>10</v>
      </c>
      <c r="B107" s="413"/>
      <c r="C107" s="413"/>
      <c r="D107" s="413"/>
      <c r="E107" s="413"/>
      <c r="F107" s="413">
        <v>3179</v>
      </c>
      <c r="G107" s="413">
        <v>3498</v>
      </c>
      <c r="H107" s="413">
        <v>3666</v>
      </c>
      <c r="I107" s="413">
        <v>3852</v>
      </c>
      <c r="J107" s="413">
        <v>4016</v>
      </c>
      <c r="K107" s="413">
        <v>4179</v>
      </c>
      <c r="L107" s="413">
        <v>4335</v>
      </c>
      <c r="M107" s="413">
        <v>4489</v>
      </c>
      <c r="N107" s="413">
        <v>4656</v>
      </c>
      <c r="O107" s="413">
        <v>4804</v>
      </c>
      <c r="P107" s="413">
        <v>4957</v>
      </c>
      <c r="Q107" s="413">
        <v>5106</v>
      </c>
      <c r="R107" s="413">
        <v>5277</v>
      </c>
      <c r="S107" s="413"/>
      <c r="T107" s="413"/>
      <c r="U107" s="413"/>
      <c r="V107" s="419">
        <v>13</v>
      </c>
      <c r="W107" s="405" t="s">
        <v>285</v>
      </c>
      <c r="X107" s="416" t="str">
        <f t="shared" si="1"/>
        <v>1013</v>
      </c>
      <c r="Y107" s="417">
        <f>1</f>
        <v>1</v>
      </c>
    </row>
    <row r="108" spans="1:25" ht="12.75" x14ac:dyDescent="0.2">
      <c r="A108" s="408">
        <v>11</v>
      </c>
      <c r="B108" s="413"/>
      <c r="C108" s="413"/>
      <c r="D108" s="413"/>
      <c r="E108" s="413"/>
      <c r="F108" s="413">
        <v>3484</v>
      </c>
      <c r="G108" s="413">
        <v>3649</v>
      </c>
      <c r="H108" s="413">
        <v>3838</v>
      </c>
      <c r="I108" s="413">
        <v>4028</v>
      </c>
      <c r="J108" s="413">
        <v>4216</v>
      </c>
      <c r="K108" s="413">
        <v>4426</v>
      </c>
      <c r="L108" s="413">
        <v>4659</v>
      </c>
      <c r="M108" s="413">
        <v>4912</v>
      </c>
      <c r="N108" s="413">
        <v>5189</v>
      </c>
      <c r="O108" s="413">
        <v>5487</v>
      </c>
      <c r="P108" s="413">
        <v>5807</v>
      </c>
      <c r="Q108" s="413">
        <v>6149</v>
      </c>
      <c r="R108" s="413"/>
      <c r="S108" s="413"/>
      <c r="T108" s="413"/>
      <c r="U108" s="413"/>
      <c r="V108" s="419">
        <v>12</v>
      </c>
      <c r="W108" s="405" t="s">
        <v>285</v>
      </c>
      <c r="X108" s="416" t="str">
        <f t="shared" si="1"/>
        <v>1112</v>
      </c>
      <c r="Y108" s="417">
        <f>1</f>
        <v>1</v>
      </c>
    </row>
    <row r="109" spans="1:25" ht="12.75" x14ac:dyDescent="0.2">
      <c r="A109" s="408">
        <v>12</v>
      </c>
      <c r="B109" s="413"/>
      <c r="C109" s="413"/>
      <c r="D109" s="413"/>
      <c r="E109" s="413"/>
      <c r="F109" s="413">
        <v>3497</v>
      </c>
      <c r="G109" s="413">
        <v>3704</v>
      </c>
      <c r="H109" s="413">
        <v>3943</v>
      </c>
      <c r="I109" s="413">
        <v>4183</v>
      </c>
      <c r="J109" s="413">
        <v>4423</v>
      </c>
      <c r="K109" s="413">
        <v>4694</v>
      </c>
      <c r="L109" s="413">
        <v>4995</v>
      </c>
      <c r="M109" s="413">
        <v>5332</v>
      </c>
      <c r="N109" s="413">
        <v>5697</v>
      </c>
      <c r="O109" s="413">
        <v>6098</v>
      </c>
      <c r="P109" s="413">
        <v>6528</v>
      </c>
      <c r="Q109" s="413">
        <v>6992</v>
      </c>
      <c r="R109" s="413"/>
      <c r="S109" s="413"/>
      <c r="T109" s="413"/>
      <c r="U109" s="413"/>
      <c r="V109" s="419">
        <v>12</v>
      </c>
      <c r="W109" s="405" t="s">
        <v>285</v>
      </c>
      <c r="X109" s="416" t="str">
        <f t="shared" si="1"/>
        <v>1212</v>
      </c>
      <c r="Y109" s="417">
        <f>1</f>
        <v>1</v>
      </c>
    </row>
    <row r="110" spans="1:25" ht="12.75" x14ac:dyDescent="0.2">
      <c r="A110" s="408">
        <v>13</v>
      </c>
      <c r="B110" s="413"/>
      <c r="C110" s="413"/>
      <c r="D110" s="413"/>
      <c r="E110" s="413"/>
      <c r="F110" s="413">
        <v>5441</v>
      </c>
      <c r="G110" s="413">
        <v>5630</v>
      </c>
      <c r="H110" s="413">
        <v>5820</v>
      </c>
      <c r="I110" s="413">
        <v>6009</v>
      </c>
      <c r="J110" s="413">
        <v>6197</v>
      </c>
      <c r="K110" s="413">
        <v>6388</v>
      </c>
      <c r="L110" s="413">
        <v>6576</v>
      </c>
      <c r="M110" s="413">
        <v>6765</v>
      </c>
      <c r="N110" s="413">
        <v>6954</v>
      </c>
      <c r="O110" s="413">
        <v>7143</v>
      </c>
      <c r="P110" s="413">
        <v>7333</v>
      </c>
      <c r="Q110" s="413">
        <v>7521</v>
      </c>
      <c r="R110" s="413">
        <v>7710</v>
      </c>
      <c r="S110" s="413"/>
      <c r="T110" s="413"/>
      <c r="U110" s="413"/>
      <c r="V110" s="419">
        <v>13</v>
      </c>
      <c r="W110" s="405" t="s">
        <v>285</v>
      </c>
      <c r="X110" s="416" t="str">
        <f t="shared" si="1"/>
        <v>1313</v>
      </c>
      <c r="Y110" s="417">
        <f>1</f>
        <v>1</v>
      </c>
    </row>
    <row r="111" spans="1:25" ht="12.75" x14ac:dyDescent="0.2">
      <c r="A111" s="408">
        <v>14</v>
      </c>
      <c r="B111" s="413"/>
      <c r="C111" s="413"/>
      <c r="D111" s="413"/>
      <c r="E111" s="413"/>
      <c r="F111" s="413">
        <v>6230</v>
      </c>
      <c r="G111" s="413">
        <v>6387</v>
      </c>
      <c r="H111" s="413">
        <v>6696</v>
      </c>
      <c r="I111" s="413">
        <v>6892</v>
      </c>
      <c r="J111" s="413">
        <v>7090</v>
      </c>
      <c r="K111" s="413">
        <v>7286</v>
      </c>
      <c r="L111" s="413">
        <v>7484</v>
      </c>
      <c r="M111" s="413">
        <v>7683</v>
      </c>
      <c r="N111" s="413">
        <v>7890</v>
      </c>
      <c r="O111" s="413">
        <v>8105</v>
      </c>
      <c r="P111" s="413">
        <v>8325</v>
      </c>
      <c r="Q111" s="413"/>
      <c r="R111" s="413"/>
      <c r="S111" s="413"/>
      <c r="T111" s="413"/>
      <c r="U111" s="413"/>
      <c r="V111" s="419">
        <v>11</v>
      </c>
      <c r="W111" s="405" t="s">
        <v>285</v>
      </c>
      <c r="X111" s="416" t="str">
        <f t="shared" si="1"/>
        <v>1411</v>
      </c>
      <c r="Y111" s="417">
        <f>1</f>
        <v>1</v>
      </c>
    </row>
    <row r="112" spans="1:25" ht="12.75" x14ac:dyDescent="0.2">
      <c r="A112" s="408">
        <v>15</v>
      </c>
      <c r="B112" s="413"/>
      <c r="C112" s="413"/>
      <c r="D112" s="413"/>
      <c r="E112" s="413"/>
      <c r="F112" s="413">
        <v>6541</v>
      </c>
      <c r="G112" s="413">
        <v>6696</v>
      </c>
      <c r="H112" s="413">
        <v>6892</v>
      </c>
      <c r="I112" s="413">
        <v>7286</v>
      </c>
      <c r="J112" s="413">
        <v>7484</v>
      </c>
      <c r="K112" s="413">
        <v>7683</v>
      </c>
      <c r="L112" s="413">
        <v>7891</v>
      </c>
      <c r="M112" s="413">
        <v>8105</v>
      </c>
      <c r="N112" s="413">
        <v>8325</v>
      </c>
      <c r="O112" s="413">
        <v>8588</v>
      </c>
      <c r="P112" s="413">
        <v>8862</v>
      </c>
      <c r="Q112" s="413">
        <v>9141</v>
      </c>
      <c r="R112" s="413"/>
      <c r="S112" s="413"/>
      <c r="T112" s="413"/>
      <c r="U112" s="413"/>
      <c r="V112" s="419">
        <v>12</v>
      </c>
      <c r="W112" s="405" t="s">
        <v>285</v>
      </c>
      <c r="X112" s="416" t="str">
        <f t="shared" si="1"/>
        <v>1512</v>
      </c>
      <c r="Y112" s="417">
        <f>1</f>
        <v>1</v>
      </c>
    </row>
    <row r="113" spans="1:25" ht="12.75" x14ac:dyDescent="0.2">
      <c r="A113" s="408">
        <v>16</v>
      </c>
      <c r="B113" s="413"/>
      <c r="C113" s="413"/>
      <c r="D113" s="413"/>
      <c r="E113" s="413"/>
      <c r="F113" s="413">
        <v>7090</v>
      </c>
      <c r="G113" s="413">
        <v>7286</v>
      </c>
      <c r="H113" s="413">
        <v>7484</v>
      </c>
      <c r="I113" s="413">
        <v>7891</v>
      </c>
      <c r="J113" s="413">
        <v>8105</v>
      </c>
      <c r="K113" s="413">
        <v>8325</v>
      </c>
      <c r="L113" s="413">
        <v>8588</v>
      </c>
      <c r="M113" s="413">
        <v>8862</v>
      </c>
      <c r="N113" s="413">
        <v>9141</v>
      </c>
      <c r="O113" s="413">
        <v>9434</v>
      </c>
      <c r="P113" s="413">
        <v>9732</v>
      </c>
      <c r="Q113" s="413">
        <v>10041</v>
      </c>
      <c r="R113" s="413"/>
      <c r="S113" s="413"/>
      <c r="T113" s="413"/>
      <c r="U113" s="413"/>
      <c r="V113" s="419">
        <v>12</v>
      </c>
      <c r="W113" s="405" t="s">
        <v>285</v>
      </c>
      <c r="X113" s="416" t="str">
        <f t="shared" si="1"/>
        <v>1612</v>
      </c>
      <c r="Y113" s="417">
        <f>1</f>
        <v>1</v>
      </c>
    </row>
    <row r="114" spans="1:25" ht="12.75" x14ac:dyDescent="0.2">
      <c r="A114" s="408">
        <v>17</v>
      </c>
      <c r="B114" s="413"/>
      <c r="C114" s="413"/>
      <c r="D114" s="413"/>
      <c r="E114" s="413"/>
      <c r="F114" s="413">
        <v>7683</v>
      </c>
      <c r="G114" s="413">
        <v>7890</v>
      </c>
      <c r="H114" s="413">
        <v>8105</v>
      </c>
      <c r="I114" s="413">
        <v>8589</v>
      </c>
      <c r="J114" s="413">
        <v>8862</v>
      </c>
      <c r="K114" s="413">
        <v>9141</v>
      </c>
      <c r="L114" s="413">
        <v>9434</v>
      </c>
      <c r="M114" s="413">
        <v>9731</v>
      </c>
      <c r="N114" s="413">
        <v>10041</v>
      </c>
      <c r="O114" s="413">
        <v>10362</v>
      </c>
      <c r="P114" s="413">
        <v>10690</v>
      </c>
      <c r="Q114" s="413">
        <v>11030</v>
      </c>
      <c r="R114" s="413"/>
      <c r="S114" s="413"/>
      <c r="T114" s="413"/>
      <c r="U114" s="413"/>
      <c r="V114" s="419">
        <v>12</v>
      </c>
      <c r="W114" s="405" t="s">
        <v>285</v>
      </c>
      <c r="X114" s="416" t="str">
        <f t="shared" si="1"/>
        <v>1712</v>
      </c>
      <c r="Y114" s="417">
        <f>1</f>
        <v>1</v>
      </c>
    </row>
  </sheetData>
  <sheetProtection algorithmName="SHA-512" hashValue="47OWaug33PE3QlInAIuVnUxyGvCxlkuKiK98etkVukd6ZDMQLeIRe5ysfwQIZ/hYnSRIblfqD+hwG0w1h7eDqw==" saltValue="9gmD3c+IcASiJeMUhNunDw==" spinCount="100000" sheet="1" objects="1" scenarios="1"/>
  <mergeCells count="2">
    <mergeCell ref="A38:A39"/>
    <mergeCell ref="A52:A53"/>
  </mergeCells>
  <hyperlinks>
    <hyperlink ref="J15" r:id="rId1" display="https://www.vfpf.nl/actueel/concept-premiepercentages-vf-en-pf-voor-2025-zijn-bekend"/>
    <hyperlink ref="J8" r:id="rId2" display="https://www.abp.nl/content/dam/abp/documenten/formulieren-tabellen/premietabel_2025.pdf"/>
    <hyperlink ref="J9" r:id="rId3" display="https://www.abp.nl/content/dam/abp/documenten/formulieren-tabellen/premietabel_2025.pdf"/>
    <hyperlink ref="J10" r:id="rId4" display="https://www.abp.nl/content/dam/abp/documenten/formulieren-tabellen/premietabel_2025.pdf"/>
    <hyperlink ref="J12" r:id="rId5" display="https://www.uwv.nl/imagesdxa/gedifferentieerde-premies-wga-en-ziektewet-2025_tcm94-459883.pdf"/>
    <hyperlink ref="J11" r:id="rId6" location=":~:text=Het%20lage%20premiepercentage%2C%20bedoeld%20in,jaar%202025%207%2C74%25."/>
    <hyperlink ref="J14" r:id="rId7" location=":~:text=Het%20lage%20premiepercentage%2C%20bedoeld%20in,jaar%202025%207%2C74%25."/>
    <hyperlink ref="J13" r:id="rId8" display="https://www.staatvenz.nl/financiele-middelen/premieoverzicht-zvw-begroting"/>
  </hyperlinks>
  <pageMargins left="0.7" right="0.7" top="0.75" bottom="0.75" header="0.3" footer="0.3"/>
  <legacy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R42"/>
  <sheetViews>
    <sheetView topLeftCell="A25" workbookViewId="0">
      <selection activeCell="F35" sqref="F35"/>
    </sheetView>
  </sheetViews>
  <sheetFormatPr defaultRowHeight="15" x14ac:dyDescent="0.25"/>
  <cols>
    <col min="1" max="1" width="34.140625" bestFit="1" customWidth="1"/>
    <col min="2" max="2" width="19.7109375" customWidth="1"/>
    <col min="3" max="3" width="10.28515625" bestFit="1" customWidth="1"/>
    <col min="4" max="4" width="10" bestFit="1" customWidth="1"/>
    <col min="5" max="5" width="14.28515625" bestFit="1" customWidth="1"/>
    <col min="6" max="6" width="10" bestFit="1" customWidth="1"/>
    <col min="7" max="7" width="24.5703125" style="58" customWidth="1"/>
    <col min="8" max="18" width="9.140625" style="58"/>
  </cols>
  <sheetData>
    <row r="1" spans="1:18" ht="18.75" x14ac:dyDescent="0.3">
      <c r="A1" s="446" t="s">
        <v>297</v>
      </c>
      <c r="B1" s="359"/>
      <c r="C1" s="359"/>
      <c r="D1" s="359"/>
      <c r="E1" s="359"/>
    </row>
    <row r="2" spans="1:18" x14ac:dyDescent="0.25">
      <c r="C2" s="355"/>
      <c r="D2" s="355"/>
      <c r="E2" s="355"/>
    </row>
    <row r="3" spans="1:18" x14ac:dyDescent="0.25">
      <c r="A3" s="8" t="s">
        <v>88</v>
      </c>
      <c r="B3" s="8" t="s">
        <v>365</v>
      </c>
      <c r="C3" s="8"/>
      <c r="D3" s="8"/>
      <c r="E3" s="8"/>
      <c r="F3" t="s">
        <v>363</v>
      </c>
      <c r="G3" s="514" t="s">
        <v>362</v>
      </c>
    </row>
    <row r="4" spans="1:18" x14ac:dyDescent="0.25">
      <c r="A4" s="1" t="s">
        <v>26</v>
      </c>
      <c r="B4" s="1" t="s">
        <v>364</v>
      </c>
      <c r="C4" s="1" t="s">
        <v>366</v>
      </c>
      <c r="D4" s="3" t="s">
        <v>87</v>
      </c>
      <c r="E4" s="1" t="s">
        <v>367</v>
      </c>
    </row>
    <row r="5" spans="1:18" ht="12.75" x14ac:dyDescent="0.2">
      <c r="A5" s="1">
        <v>1</v>
      </c>
      <c r="B5" s="18">
        <v>0</v>
      </c>
      <c r="C5" s="18">
        <f>B6</f>
        <v>38441</v>
      </c>
      <c r="D5" s="4">
        <v>0.35820000000000002</v>
      </c>
      <c r="E5" s="1">
        <v>0</v>
      </c>
      <c r="F5" s="1"/>
      <c r="G5"/>
      <c r="H5"/>
      <c r="I5"/>
      <c r="J5"/>
      <c r="K5"/>
      <c r="L5"/>
      <c r="M5"/>
      <c r="N5"/>
      <c r="O5"/>
      <c r="P5"/>
      <c r="Q5"/>
      <c r="R5"/>
    </row>
    <row r="6" spans="1:18" ht="12.75" x14ac:dyDescent="0.2">
      <c r="A6" s="1" t="s">
        <v>357</v>
      </c>
      <c r="B6" s="18">
        <v>38441</v>
      </c>
      <c r="C6" s="18">
        <f>B7</f>
        <v>76817</v>
      </c>
      <c r="D6" s="4">
        <v>0.37480000000000002</v>
      </c>
      <c r="E6" s="20">
        <f>ROUND(D5*B6,0)</f>
        <v>13770</v>
      </c>
      <c r="F6" s="572">
        <f>D6*(C6-B6)</f>
        <v>14383.3248</v>
      </c>
      <c r="G6"/>
      <c r="H6"/>
      <c r="I6"/>
      <c r="J6"/>
      <c r="K6"/>
      <c r="L6"/>
      <c r="M6"/>
      <c r="N6"/>
      <c r="O6"/>
      <c r="P6"/>
      <c r="Q6"/>
      <c r="R6"/>
    </row>
    <row r="7" spans="1:18" ht="12.75" x14ac:dyDescent="0.2">
      <c r="A7" s="1">
        <v>3</v>
      </c>
      <c r="B7" s="18">
        <v>76817</v>
      </c>
      <c r="C7" s="18"/>
      <c r="D7" s="4">
        <v>0.495</v>
      </c>
      <c r="E7" s="20">
        <f>ROUND(D6*(C6-B6),0)+E6</f>
        <v>28153</v>
      </c>
      <c r="F7" s="1"/>
      <c r="G7"/>
      <c r="H7"/>
      <c r="I7"/>
      <c r="J7"/>
      <c r="K7"/>
      <c r="L7"/>
      <c r="M7"/>
      <c r="N7"/>
      <c r="O7"/>
      <c r="P7"/>
      <c r="Q7"/>
      <c r="R7"/>
    </row>
    <row r="8" spans="1:18" ht="12.75" customHeight="1" x14ac:dyDescent="0.2">
      <c r="A8" s="1"/>
      <c r="B8" s="1"/>
      <c r="C8" s="1"/>
      <c r="D8" s="4"/>
      <c r="E8" s="1"/>
      <c r="F8" s="20"/>
      <c r="G8"/>
      <c r="H8"/>
      <c r="I8"/>
      <c r="J8"/>
      <c r="K8"/>
      <c r="L8"/>
      <c r="M8"/>
      <c r="N8"/>
      <c r="O8"/>
      <c r="P8"/>
      <c r="Q8"/>
      <c r="R8"/>
    </row>
    <row r="9" spans="1:18" ht="12.75" x14ac:dyDescent="0.2">
      <c r="A9" s="1" t="s">
        <v>92</v>
      </c>
      <c r="B9" s="8" t="s">
        <v>365</v>
      </c>
      <c r="C9" s="1"/>
      <c r="D9" s="1"/>
      <c r="E9" s="1"/>
      <c r="F9" s="1"/>
      <c r="G9"/>
      <c r="H9"/>
      <c r="I9"/>
      <c r="J9"/>
      <c r="K9"/>
      <c r="L9"/>
      <c r="M9"/>
      <c r="N9"/>
      <c r="O9"/>
      <c r="P9"/>
      <c r="Q9"/>
      <c r="R9"/>
    </row>
    <row r="10" spans="1:18" ht="12.75" x14ac:dyDescent="0.2">
      <c r="A10" s="1" t="s">
        <v>26</v>
      </c>
      <c r="B10" s="1" t="s">
        <v>364</v>
      </c>
      <c r="C10" s="1" t="s">
        <v>366</v>
      </c>
      <c r="D10" s="3" t="s">
        <v>87</v>
      </c>
      <c r="E10" s="1" t="s">
        <v>367</v>
      </c>
      <c r="F10" s="1"/>
      <c r="G10"/>
      <c r="H10"/>
      <c r="I10"/>
      <c r="J10"/>
      <c r="K10"/>
      <c r="L10"/>
      <c r="M10"/>
      <c r="N10"/>
      <c r="O10"/>
      <c r="P10"/>
      <c r="Q10"/>
      <c r="R10"/>
    </row>
    <row r="11" spans="1:18" ht="12.75" x14ac:dyDescent="0.2">
      <c r="A11" s="1">
        <v>1</v>
      </c>
      <c r="B11" s="18">
        <v>0</v>
      </c>
      <c r="C11" s="18">
        <f>B12</f>
        <v>38441</v>
      </c>
      <c r="D11" s="4">
        <v>0.1792</v>
      </c>
      <c r="E11" s="1">
        <v>0</v>
      </c>
      <c r="F11" s="3"/>
      <c r="G11"/>
      <c r="H11"/>
      <c r="I11"/>
      <c r="J11"/>
      <c r="K11"/>
      <c r="L11"/>
      <c r="M11"/>
      <c r="N11"/>
      <c r="O11"/>
      <c r="P11"/>
      <c r="Q11"/>
      <c r="R11"/>
    </row>
    <row r="12" spans="1:18" ht="12.75" x14ac:dyDescent="0.2">
      <c r="A12" s="1">
        <v>2</v>
      </c>
      <c r="B12" s="18">
        <v>38441</v>
      </c>
      <c r="C12" s="18">
        <f>B13</f>
        <v>76817</v>
      </c>
      <c r="D12" s="4">
        <v>0.37480000000000002</v>
      </c>
      <c r="E12" s="20">
        <f>ROUND(D11*B12,0)</f>
        <v>6889</v>
      </c>
      <c r="F12" s="1"/>
      <c r="G12"/>
      <c r="H12"/>
      <c r="I12"/>
      <c r="J12"/>
      <c r="K12"/>
      <c r="L12"/>
      <c r="M12"/>
      <c r="N12"/>
      <c r="O12"/>
      <c r="P12"/>
      <c r="Q12"/>
      <c r="R12"/>
    </row>
    <row r="13" spans="1:18" ht="12.75" x14ac:dyDescent="0.2">
      <c r="A13" s="1">
        <v>3</v>
      </c>
      <c r="B13" s="18">
        <v>76817</v>
      </c>
      <c r="C13" s="18"/>
      <c r="D13" s="4">
        <v>0.495</v>
      </c>
      <c r="E13" s="20">
        <f>ROUND(D12*(C12-B12),0)+E12</f>
        <v>21272</v>
      </c>
      <c r="F13" s="20"/>
      <c r="G13"/>
      <c r="H13"/>
      <c r="I13"/>
      <c r="J13"/>
      <c r="K13"/>
      <c r="L13"/>
      <c r="M13"/>
      <c r="N13"/>
      <c r="O13"/>
      <c r="P13"/>
      <c r="Q13"/>
      <c r="R13"/>
    </row>
    <row r="14" spans="1:18" ht="12.75" x14ac:dyDescent="0.2">
      <c r="A14" s="1"/>
      <c r="B14" s="1"/>
      <c r="C14" s="1"/>
      <c r="D14" s="1"/>
      <c r="E14" s="1"/>
      <c r="F14" s="20"/>
      <c r="G14"/>
      <c r="H14"/>
      <c r="I14"/>
      <c r="J14"/>
      <c r="K14"/>
      <c r="L14"/>
      <c r="M14"/>
      <c r="N14"/>
      <c r="O14"/>
      <c r="P14"/>
      <c r="Q14"/>
      <c r="R14"/>
    </row>
    <row r="15" spans="1:18" ht="12.75" x14ac:dyDescent="0.2">
      <c r="A15" s="1"/>
      <c r="B15" s="1"/>
      <c r="C15" s="1"/>
      <c r="D15" s="1"/>
      <c r="E15" s="1"/>
      <c r="G15"/>
      <c r="H15"/>
      <c r="I15"/>
      <c r="J15"/>
      <c r="K15"/>
      <c r="L15"/>
      <c r="M15"/>
      <c r="N15"/>
      <c r="O15"/>
      <c r="P15"/>
      <c r="Q15"/>
      <c r="R15"/>
    </row>
    <row r="16" spans="1:18" ht="12.75" x14ac:dyDescent="0.2">
      <c r="A16" s="1"/>
      <c r="B16" s="1"/>
      <c r="C16" s="1"/>
      <c r="D16" s="1"/>
      <c r="E16" s="1"/>
      <c r="G16"/>
      <c r="H16"/>
      <c r="I16"/>
      <c r="J16"/>
      <c r="K16"/>
      <c r="L16"/>
      <c r="M16"/>
      <c r="N16"/>
      <c r="O16"/>
      <c r="P16"/>
      <c r="Q16"/>
      <c r="R16"/>
    </row>
    <row r="17" spans="1:18" ht="12.75" x14ac:dyDescent="0.2">
      <c r="A17" s="1" t="s">
        <v>93</v>
      </c>
      <c r="B17" s="1" t="s">
        <v>86</v>
      </c>
      <c r="C17" s="1"/>
      <c r="D17" s="1"/>
      <c r="E17" s="1"/>
      <c r="G17"/>
      <c r="H17"/>
      <c r="I17"/>
      <c r="J17"/>
      <c r="K17"/>
      <c r="L17"/>
      <c r="M17"/>
      <c r="N17"/>
      <c r="O17"/>
      <c r="P17"/>
      <c r="Q17"/>
      <c r="R17"/>
    </row>
    <row r="18" spans="1:18" ht="12.75" x14ac:dyDescent="0.2">
      <c r="A18" s="1" t="s">
        <v>358</v>
      </c>
      <c r="B18" s="20">
        <v>0</v>
      </c>
      <c r="C18" s="25">
        <v>3362</v>
      </c>
      <c r="D18" s="1"/>
      <c r="E18" s="1"/>
      <c r="G18"/>
      <c r="H18"/>
      <c r="I18"/>
      <c r="J18"/>
      <c r="K18"/>
      <c r="L18"/>
      <c r="M18"/>
      <c r="N18"/>
      <c r="O18"/>
      <c r="P18"/>
      <c r="Q18"/>
      <c r="R18"/>
    </row>
    <row r="19" spans="1:18" ht="12.75" x14ac:dyDescent="0.2">
      <c r="A19" s="1" t="s">
        <v>360</v>
      </c>
      <c r="B19" s="19">
        <v>28406</v>
      </c>
      <c r="C19" s="10">
        <v>6.3369999999999996E-2</v>
      </c>
      <c r="D19" s="1"/>
      <c r="E19" s="1"/>
      <c r="G19"/>
      <c r="H19"/>
      <c r="I19"/>
      <c r="J19"/>
      <c r="K19"/>
      <c r="L19"/>
      <c r="M19"/>
      <c r="N19"/>
      <c r="O19"/>
      <c r="P19"/>
      <c r="Q19"/>
      <c r="R19"/>
    </row>
    <row r="20" spans="1:18" ht="12.75" x14ac:dyDescent="0.2">
      <c r="A20" s="1" t="s">
        <v>359</v>
      </c>
      <c r="B20" s="19">
        <v>76817</v>
      </c>
      <c r="C20" s="1">
        <v>0</v>
      </c>
      <c r="D20" s="1"/>
      <c r="E20" s="1"/>
      <c r="G20"/>
      <c r="H20"/>
      <c r="I20"/>
      <c r="J20"/>
      <c r="K20"/>
      <c r="L20"/>
      <c r="M20"/>
      <c r="N20"/>
      <c r="O20"/>
      <c r="P20"/>
      <c r="Q20"/>
      <c r="R20"/>
    </row>
    <row r="21" spans="1:18" ht="12.75" x14ac:dyDescent="0.2">
      <c r="A21" s="1"/>
      <c r="B21" s="1"/>
      <c r="C21" s="1"/>
      <c r="D21" s="1"/>
      <c r="E21" s="1"/>
      <c r="G21"/>
      <c r="H21"/>
      <c r="I21"/>
      <c r="J21"/>
      <c r="K21"/>
      <c r="L21"/>
      <c r="M21"/>
      <c r="N21"/>
      <c r="O21"/>
      <c r="P21"/>
      <c r="Q21"/>
      <c r="R21"/>
    </row>
    <row r="22" spans="1:18" ht="12.75" x14ac:dyDescent="0.2">
      <c r="A22" s="1" t="s">
        <v>97</v>
      </c>
      <c r="B22" s="1" t="s">
        <v>96</v>
      </c>
      <c r="C22" s="1"/>
      <c r="D22" s="1"/>
      <c r="E22" s="1"/>
      <c r="G22"/>
      <c r="H22"/>
      <c r="I22"/>
      <c r="J22"/>
      <c r="K22"/>
      <c r="L22"/>
      <c r="M22"/>
      <c r="N22"/>
      <c r="O22"/>
      <c r="P22"/>
      <c r="Q22"/>
      <c r="R22"/>
    </row>
    <row r="23" spans="1:18" ht="12.75" x14ac:dyDescent="0.2">
      <c r="A23" s="1" t="s">
        <v>358</v>
      </c>
      <c r="B23" s="20">
        <v>0</v>
      </c>
      <c r="C23" s="25">
        <v>1536</v>
      </c>
      <c r="D23" s="1"/>
      <c r="E23" s="1"/>
      <c r="G23"/>
      <c r="H23"/>
      <c r="I23"/>
      <c r="J23"/>
      <c r="K23"/>
      <c r="L23"/>
      <c r="M23"/>
      <c r="N23"/>
      <c r="O23"/>
      <c r="P23"/>
      <c r="Q23"/>
      <c r="R23"/>
    </row>
    <row r="24" spans="1:18" ht="12.75" x14ac:dyDescent="0.2">
      <c r="A24" s="1" t="s">
        <v>360</v>
      </c>
      <c r="B24" s="19">
        <v>28406</v>
      </c>
      <c r="C24" s="10">
        <v>3.1699999999999999E-2</v>
      </c>
      <c r="D24" s="1"/>
      <c r="E24" s="1"/>
      <c r="G24"/>
      <c r="H24"/>
      <c r="I24"/>
      <c r="J24"/>
      <c r="K24"/>
      <c r="L24"/>
      <c r="M24"/>
      <c r="N24"/>
      <c r="O24"/>
      <c r="P24"/>
      <c r="Q24"/>
      <c r="R24"/>
    </row>
    <row r="25" spans="1:18" ht="12.75" x14ac:dyDescent="0.2">
      <c r="A25" s="1" t="s">
        <v>359</v>
      </c>
      <c r="B25" s="19">
        <v>76817</v>
      </c>
      <c r="C25" s="1">
        <v>0</v>
      </c>
      <c r="D25" s="1"/>
      <c r="E25" s="1"/>
      <c r="G25"/>
      <c r="H25"/>
      <c r="I25"/>
      <c r="J25"/>
      <c r="K25"/>
      <c r="L25"/>
      <c r="M25"/>
      <c r="N25"/>
      <c r="O25"/>
      <c r="P25"/>
      <c r="Q25"/>
      <c r="R25"/>
    </row>
    <row r="26" spans="1:18" ht="12.75" x14ac:dyDescent="0.2">
      <c r="A26" s="1"/>
      <c r="B26" s="1"/>
      <c r="C26" s="1"/>
      <c r="D26" s="1"/>
      <c r="E26" s="1"/>
      <c r="G26"/>
      <c r="H26"/>
      <c r="I26"/>
      <c r="J26"/>
      <c r="K26"/>
      <c r="L26"/>
      <c r="M26"/>
      <c r="N26"/>
      <c r="O26"/>
      <c r="P26"/>
      <c r="Q26"/>
      <c r="R26"/>
    </row>
    <row r="27" spans="1:18" ht="12.75" x14ac:dyDescent="0.2">
      <c r="A27" s="1" t="s">
        <v>361</v>
      </c>
      <c r="B27" s="8" t="s">
        <v>365</v>
      </c>
      <c r="C27" s="8"/>
      <c r="D27" s="8"/>
      <c r="E27" s="8"/>
      <c r="G27"/>
      <c r="H27"/>
      <c r="I27"/>
      <c r="J27"/>
      <c r="K27"/>
      <c r="L27"/>
      <c r="M27"/>
      <c r="N27"/>
      <c r="O27"/>
      <c r="P27"/>
      <c r="Q27"/>
      <c r="R27"/>
    </row>
    <row r="28" spans="1:18" ht="12.75" x14ac:dyDescent="0.2">
      <c r="B28" s="1" t="s">
        <v>364</v>
      </c>
      <c r="C28" s="1" t="s">
        <v>366</v>
      </c>
      <c r="D28" s="3" t="s">
        <v>87</v>
      </c>
      <c r="E28" s="1" t="s">
        <v>367</v>
      </c>
      <c r="G28"/>
      <c r="H28"/>
      <c r="I28"/>
      <c r="J28"/>
      <c r="K28"/>
      <c r="L28"/>
      <c r="M28"/>
      <c r="N28"/>
      <c r="O28"/>
      <c r="P28"/>
      <c r="Q28"/>
      <c r="R28"/>
    </row>
    <row r="29" spans="1:18" ht="12.75" x14ac:dyDescent="0.2">
      <c r="A29" s="574">
        <v>1</v>
      </c>
      <c r="B29" s="18">
        <v>0</v>
      </c>
      <c r="C29" s="576">
        <f>B30</f>
        <v>12169</v>
      </c>
      <c r="D29" s="24">
        <v>8.0530000000000004E-2</v>
      </c>
      <c r="E29" s="18">
        <v>0</v>
      </c>
      <c r="G29"/>
      <c r="H29"/>
      <c r="I29"/>
      <c r="J29"/>
      <c r="K29"/>
      <c r="L29"/>
      <c r="M29"/>
      <c r="N29"/>
      <c r="O29"/>
      <c r="P29"/>
      <c r="Q29"/>
      <c r="R29"/>
    </row>
    <row r="30" spans="1:18" ht="12.75" x14ac:dyDescent="0.2">
      <c r="A30" s="574">
        <v>2</v>
      </c>
      <c r="B30" s="18">
        <v>12169</v>
      </c>
      <c r="C30" s="576">
        <f t="shared" ref="C30:C32" si="0">B31</f>
        <v>26288</v>
      </c>
      <c r="D30" s="24">
        <v>0.30030000000000001</v>
      </c>
      <c r="E30" s="18">
        <v>980</v>
      </c>
      <c r="G30"/>
      <c r="H30"/>
      <c r="I30"/>
      <c r="J30"/>
      <c r="K30"/>
      <c r="L30"/>
      <c r="M30"/>
      <c r="N30"/>
      <c r="O30"/>
      <c r="P30"/>
      <c r="Q30"/>
      <c r="R30"/>
    </row>
    <row r="31" spans="1:18" ht="12.75" x14ac:dyDescent="0.2">
      <c r="A31" s="574">
        <v>3</v>
      </c>
      <c r="B31" s="18">
        <v>26288</v>
      </c>
      <c r="C31" s="576">
        <f t="shared" si="0"/>
        <v>43071</v>
      </c>
      <c r="D31" s="24">
        <v>2.2579999999999999E-2</v>
      </c>
      <c r="E31" s="18">
        <v>4240</v>
      </c>
      <c r="G31"/>
      <c r="H31"/>
      <c r="I31"/>
      <c r="J31"/>
      <c r="K31"/>
      <c r="L31"/>
      <c r="M31"/>
      <c r="N31"/>
      <c r="O31"/>
      <c r="P31"/>
      <c r="Q31"/>
      <c r="R31"/>
    </row>
    <row r="32" spans="1:18" ht="12.75" x14ac:dyDescent="0.2">
      <c r="A32" s="574">
        <v>4</v>
      </c>
      <c r="B32" s="18">
        <v>43071</v>
      </c>
      <c r="C32" s="576">
        <f t="shared" si="0"/>
        <v>129078</v>
      </c>
      <c r="D32" s="24">
        <v>-6.5100000000000005E-2</v>
      </c>
      <c r="E32" s="18">
        <v>5599</v>
      </c>
      <c r="G32"/>
      <c r="H32"/>
      <c r="I32"/>
      <c r="J32"/>
      <c r="K32"/>
      <c r="L32"/>
      <c r="M32"/>
      <c r="N32"/>
      <c r="O32"/>
      <c r="P32"/>
      <c r="Q32"/>
      <c r="R32"/>
    </row>
    <row r="33" spans="1:18" ht="12.75" x14ac:dyDescent="0.2">
      <c r="A33" s="574">
        <v>5</v>
      </c>
      <c r="B33" s="18">
        <v>129078</v>
      </c>
      <c r="D33" s="9">
        <v>0</v>
      </c>
      <c r="E33" s="18">
        <v>0</v>
      </c>
      <c r="G33"/>
      <c r="H33"/>
      <c r="I33"/>
      <c r="J33"/>
      <c r="K33"/>
      <c r="L33"/>
      <c r="M33"/>
      <c r="N33"/>
      <c r="O33"/>
      <c r="P33"/>
      <c r="Q33"/>
      <c r="R33"/>
    </row>
    <row r="34" spans="1:18" ht="12.75" x14ac:dyDescent="0.2">
      <c r="A34" s="1"/>
      <c r="B34" s="1"/>
      <c r="C34" s="1"/>
      <c r="D34" s="1"/>
      <c r="E34" s="1"/>
      <c r="G34"/>
      <c r="H34"/>
      <c r="I34"/>
      <c r="J34"/>
      <c r="K34"/>
      <c r="L34"/>
      <c r="M34"/>
      <c r="N34"/>
      <c r="O34"/>
      <c r="P34"/>
      <c r="Q34"/>
      <c r="R34"/>
    </row>
    <row r="35" spans="1:18" ht="12.75" x14ac:dyDescent="0.2">
      <c r="A35" s="1"/>
      <c r="B35" s="1"/>
      <c r="C35" s="1"/>
      <c r="D35" s="1"/>
      <c r="G35"/>
      <c r="H35"/>
      <c r="I35"/>
      <c r="J35"/>
      <c r="K35"/>
      <c r="L35"/>
      <c r="M35"/>
      <c r="N35"/>
      <c r="O35"/>
      <c r="P35"/>
      <c r="Q35"/>
      <c r="R35"/>
    </row>
    <row r="36" spans="1:18" ht="12.75" x14ac:dyDescent="0.2">
      <c r="A36" s="1" t="s">
        <v>399</v>
      </c>
      <c r="B36" s="8" t="s">
        <v>365</v>
      </c>
      <c r="C36" s="8"/>
      <c r="D36" s="8"/>
      <c r="E36" s="8"/>
      <c r="G36"/>
      <c r="H36"/>
      <c r="I36"/>
      <c r="J36"/>
      <c r="K36"/>
      <c r="L36"/>
      <c r="M36"/>
      <c r="N36"/>
      <c r="O36"/>
      <c r="P36"/>
      <c r="Q36"/>
      <c r="R36"/>
    </row>
    <row r="37" spans="1:18" ht="12.75" x14ac:dyDescent="0.2">
      <c r="B37" s="1" t="s">
        <v>364</v>
      </c>
      <c r="C37" s="1" t="s">
        <v>366</v>
      </c>
      <c r="D37" s="3" t="s">
        <v>87</v>
      </c>
      <c r="E37" s="1" t="s">
        <v>367</v>
      </c>
      <c r="G37"/>
      <c r="H37"/>
      <c r="I37"/>
      <c r="J37"/>
      <c r="K37"/>
      <c r="L37"/>
      <c r="M37"/>
      <c r="N37"/>
      <c r="O37"/>
      <c r="P37"/>
      <c r="Q37"/>
      <c r="R37"/>
    </row>
    <row r="38" spans="1:18" ht="12.75" x14ac:dyDescent="0.2">
      <c r="A38" s="1"/>
      <c r="B38" s="18">
        <v>0</v>
      </c>
      <c r="C38" s="577">
        <f>B39</f>
        <v>12169</v>
      </c>
      <c r="D38" s="24">
        <v>4.0289999999999999E-2</v>
      </c>
      <c r="E38" s="18">
        <v>0</v>
      </c>
      <c r="G38"/>
      <c r="H38"/>
      <c r="I38"/>
      <c r="J38"/>
      <c r="K38"/>
      <c r="L38"/>
      <c r="M38"/>
      <c r="N38"/>
      <c r="O38"/>
      <c r="P38"/>
      <c r="Q38"/>
      <c r="R38"/>
    </row>
    <row r="39" spans="1:18" ht="12.75" x14ac:dyDescent="0.2">
      <c r="A39" s="1"/>
      <c r="B39" s="18">
        <v>12169</v>
      </c>
      <c r="C39" s="577">
        <f t="shared" ref="C39:C42" si="1">B40</f>
        <v>26288</v>
      </c>
      <c r="D39" s="24">
        <v>0.15023</v>
      </c>
      <c r="E39" s="18">
        <v>491</v>
      </c>
      <c r="G39"/>
      <c r="H39"/>
      <c r="I39"/>
      <c r="J39"/>
      <c r="K39"/>
      <c r="L39"/>
      <c r="M39"/>
      <c r="N39"/>
      <c r="O39"/>
      <c r="P39"/>
      <c r="Q39"/>
      <c r="R39"/>
    </row>
    <row r="40" spans="1:18" ht="12.75" x14ac:dyDescent="0.2">
      <c r="A40" s="1"/>
      <c r="B40" s="18">
        <v>26288</v>
      </c>
      <c r="C40" s="577">
        <f t="shared" si="1"/>
        <v>43071</v>
      </c>
      <c r="D40" s="24">
        <v>1.1299999999999999E-2</v>
      </c>
      <c r="E40" s="18">
        <v>2121</v>
      </c>
      <c r="G40"/>
      <c r="H40"/>
      <c r="I40"/>
      <c r="J40"/>
      <c r="K40"/>
      <c r="L40"/>
      <c r="M40"/>
      <c r="N40"/>
      <c r="O40"/>
      <c r="P40"/>
      <c r="Q40"/>
      <c r="R40"/>
    </row>
    <row r="41" spans="1:18" ht="12.75" x14ac:dyDescent="0.2">
      <c r="A41" s="1"/>
      <c r="B41" s="18">
        <v>43071</v>
      </c>
      <c r="C41" s="577">
        <f t="shared" si="1"/>
        <v>129078</v>
      </c>
      <c r="D41" s="24">
        <v>3.2570000000000002E-2</v>
      </c>
      <c r="E41" s="18">
        <v>2802</v>
      </c>
      <c r="G41"/>
      <c r="H41"/>
      <c r="I41"/>
      <c r="J41"/>
      <c r="K41"/>
      <c r="L41"/>
      <c r="M41"/>
      <c r="N41"/>
      <c r="O41"/>
      <c r="P41"/>
      <c r="Q41"/>
      <c r="R41"/>
    </row>
    <row r="42" spans="1:18" ht="12.75" x14ac:dyDescent="0.2">
      <c r="A42" s="1"/>
      <c r="B42" s="18">
        <v>129078</v>
      </c>
      <c r="C42" s="575">
        <f t="shared" si="1"/>
        <v>0</v>
      </c>
      <c r="D42" s="9">
        <v>0</v>
      </c>
      <c r="E42" s="18">
        <v>0</v>
      </c>
      <c r="G42"/>
      <c r="H42"/>
      <c r="I42"/>
      <c r="J42"/>
      <c r="K42"/>
      <c r="L42"/>
      <c r="M42"/>
      <c r="N42"/>
      <c r="O42"/>
      <c r="P42"/>
      <c r="Q42"/>
      <c r="R42"/>
    </row>
  </sheetData>
  <sheetProtection algorithmName="SHA-512" hashValue="QW8LHZ2zACaKZGdcxI5diQSwZ2MmxY3dfhDxublCbVdqTlljyFx1d8TYtTub0vhS6TyAQ9b6F+UPeVzGg2zNyA==" saltValue="n8w+dUmHIPsrhldD2fvb3A==" spinCount="100000" sheet="1" objects="1" scenarios="1"/>
  <hyperlinks>
    <hyperlink ref="G3" r:id="rId1"/>
  </hyperlinks>
  <pageMargins left="0.7" right="0.7" top="0.75" bottom="0.75" header="0.3" footer="0.3"/>
  <pageSetup paperSize="9" orientation="portrait" horizontalDpi="20990" verticalDpi="2099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B785A11AD4EA46A393B0A0D76A7FE1" ma:contentTypeVersion="13" ma:contentTypeDescription="Een nieuw document maken." ma:contentTypeScope="" ma:versionID="18bbaa7a891f7ecb0bb687199718fcb3">
  <xsd:schema xmlns:xsd="http://www.w3.org/2001/XMLSchema" xmlns:xs="http://www.w3.org/2001/XMLSchema" xmlns:p="http://schemas.microsoft.com/office/2006/metadata/properties" xmlns:ns2="0cbf5ff0-1d43-40ac-95dd-8e242a8c63b3" xmlns:ns3="437ffa70-4243-426d-a6f9-605fc5849910" targetNamespace="http://schemas.microsoft.com/office/2006/metadata/properties" ma:root="true" ma:fieldsID="0315b2f848482936cfe1e9624249ccdf" ns2:_="" ns3:_="">
    <xsd:import namespace="0cbf5ff0-1d43-40ac-95dd-8e242a8c63b3"/>
    <xsd:import namespace="437ffa70-4243-426d-a6f9-605fc58499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bf5ff0-1d43-40ac-95dd-8e242a8c63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37ffa70-4243-426d-a6f9-605fc5849910" elementFormDefault="qualified">
    <xsd:import namespace="http://schemas.microsoft.com/office/2006/documentManagement/types"/>
    <xsd:import namespace="http://schemas.microsoft.com/office/infopath/2007/PartnerControls"/>
    <xsd:element name="SharedWithUsers" ma:index="18"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1 6 " ? > < D a t a M a s h u p   x m l n s = " h t t p : / / s c h e m a s . m i c r o s o f t . c o m / D a t a M a s h u p " > A A A A A B Y D A A B Q S w M E F A A C A A g A G 6 I u T m z p z s u m A A A A + A A A A B I A H A B D b 2 5 m a W c v U G F j a 2 F n Z S 5 4 b W w g o h g A K K A U A A A A A A A A A A A A A A A A A A A A A A A A A A A A h Y + 9 D o I w G E V f h X S n P x A M I R 9 l c A V j Y m J c m 1 q h E Y q h x f J u D j 6 S r y C J o m 6 O 9 + Q M 5 z 5 u d y i m r g 2 u a r C 6 N z l i m K J A G d k f t a l z N L p T m K K C w 1 b I s 6 h V M M v G Z p M 9 5 q h x 7 p I R 4 r 3 H P s b 9 U J O I U k Y O V b m T j e o E + s j 6 v x x q Y 5 0 w U i E O + 1 c M j / A q w U n M Y s x S B m T B U G n z V a K 5 G F M g P x D W Y + v G Q X H T h p s S y D K B v F / w J 1 B L A w Q U A A I A C A A b o i 5 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6 I u T i i K R 7 g O A A A A E Q A A A B M A H A B G b 3 J t d W x h c y 9 T Z W N 0 a W 9 u M S 5 t I K I Y A C i g F A A A A A A A A A A A A A A A A A A A A A A A A A A A A C t O T S 7 J z M 9 T C I b Q h t Y A U E s B A i 0 A F A A C A A g A G 6 I u T m z p z s u m A A A A + A A A A B I A A A A A A A A A A A A A A A A A A A A A A E N v b m Z p Z y 9 Q Y W N r Y W d l L n h t b F B L A Q I t A B Q A A g A I A B u i L k 4 P y u m r p A A A A O k A A A A T A A A A A A A A A A A A A A A A A P I A A A B b Q 2 9 u d G V u d F 9 U e X B l c 1 0 u e G 1 s U E s B A i 0 A F A A C A A g A G 6 I u T 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f Y m T 6 e e q V O k d g V E v U i v n s A A A A A A g A A A A A A A 2 Y A A M A A A A A Q A A A A + g Q + M W J L 4 U i E y g 1 5 O + A L u g A A A A A E g A A A o A A A A B A A A A D B j l c b n z 5 b 1 k B T C 3 b W 7 m V i U A A A A J 5 e J / 9 C n a 5 O X V 9 L Y 4 q P 5 H f U 4 u c k C d H s u F J t 5 Q 9 C o t h A m h O R L c h v M 9 h G G i M n x U 2 M H u p i f X 5 q / Z m 9 + Q v 0 K i 7 7 z s 5 M X T f t m I Y e T v E x A l / I + 6 P o F A A A A F 0 l K I e X o j j a s S G J t M a n 6 a n C 6 W 0 Q < / D a t a M a s h u p > 
</file>

<file path=customXml/itemProps1.xml><?xml version="1.0" encoding="utf-8"?>
<ds:datastoreItem xmlns:ds="http://schemas.openxmlformats.org/officeDocument/2006/customXml" ds:itemID="{7FC1DF0C-265A-4FD3-8787-F31A9CD984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bf5ff0-1d43-40ac-95dd-8e242a8c63b3"/>
    <ds:schemaRef ds:uri="437ffa70-4243-426d-a6f9-605fc58499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15389A-6686-4EF0-98E8-FDDA70A37F8F}">
  <ds:schemaRefs>
    <ds:schemaRef ds:uri="http://schemas.microsoft.com/sharepoint/v3/contenttype/forms"/>
  </ds:schemaRefs>
</ds:datastoreItem>
</file>

<file path=customXml/itemProps3.xml><?xml version="1.0" encoding="utf-8"?>
<ds:datastoreItem xmlns:ds="http://schemas.openxmlformats.org/officeDocument/2006/customXml" ds:itemID="{E2B9D7B9-37EE-4727-BB89-DC2D3386DCF8}">
  <ds:schemaRefs>
    <ds:schemaRef ds:uri="http://purl.org/dc/dcmitype/"/>
    <ds:schemaRef ds:uri="http://schemas.microsoft.com/office/2006/documentManagement/types"/>
    <ds:schemaRef ds:uri="http://www.w3.org/XML/1998/namespace"/>
    <ds:schemaRef ds:uri="http://schemas.microsoft.com/office/infopath/2007/PartnerControls"/>
    <ds:schemaRef ds:uri="http://purl.org/dc/terms/"/>
    <ds:schemaRef ds:uri="http://schemas.microsoft.com/office/2006/metadata/properties"/>
    <ds:schemaRef ds:uri="http://schemas.openxmlformats.org/package/2006/metadata/core-properties"/>
    <ds:schemaRef ds:uri="437ffa70-4243-426d-a6f9-605fc5849910"/>
    <ds:schemaRef ds:uri="0cbf5ff0-1d43-40ac-95dd-8e242a8c63b3"/>
    <ds:schemaRef ds:uri="http://purl.org/dc/elements/1.1/"/>
  </ds:schemaRefs>
</ds:datastoreItem>
</file>

<file path=customXml/itemProps4.xml><?xml version="1.0" encoding="utf-8"?>
<ds:datastoreItem xmlns:ds="http://schemas.openxmlformats.org/officeDocument/2006/customXml" ds:itemID="{E57E7D4B-8705-4861-AC96-7A04EC5B98F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14</vt:i4>
      </vt:variant>
    </vt:vector>
  </HeadingPairs>
  <TitlesOfParts>
    <vt:vector size="24" baseType="lpstr">
      <vt:lpstr>Startpagina</vt:lpstr>
      <vt:lpstr>Technische toelichting</vt:lpstr>
      <vt:lpstr>Invoer gegevens</vt:lpstr>
      <vt:lpstr>Loonkosten</vt:lpstr>
      <vt:lpstr>Inkomensgevolgen</vt:lpstr>
      <vt:lpstr>Loonkosten uitgebreid</vt:lpstr>
      <vt:lpstr>Inkomensgevolgen uitgebreid</vt:lpstr>
      <vt:lpstr>Tabellen PO-Raad</vt:lpstr>
      <vt:lpstr>Tabellen Loonbelasting</vt:lpstr>
      <vt:lpstr>Hulptabellen</vt:lpstr>
      <vt:lpstr>AOW_leeftijd</vt:lpstr>
      <vt:lpstr>Arbeidsmarkttoelage2023</vt:lpstr>
      <vt:lpstr>Bindingstoelage2023</vt:lpstr>
      <vt:lpstr>oktober</vt:lpstr>
      <vt:lpstr>Pop_up_menu_jaren</vt:lpstr>
      <vt:lpstr>Pop_up_menu_maanden</vt:lpstr>
      <vt:lpstr>'Invoer gegevens'!Print_Area</vt:lpstr>
      <vt:lpstr>'Loonkosten uitgebreid'!Print_Area</vt:lpstr>
      <vt:lpstr>SALARISGEGEVENS</vt:lpstr>
      <vt:lpstr>saltab</vt:lpstr>
      <vt:lpstr>Saltab2023</vt:lpstr>
      <vt:lpstr>Stap_1__GEGEVENS_WERKNEMER</vt:lpstr>
      <vt:lpstr>Uitlooptoeslag2023</vt:lpstr>
      <vt:lpstr>Werkgeverlasten_PO_2025</vt:lpstr>
    </vt:vector>
  </TitlesOfParts>
  <Company>VOS/ABB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Personele kosten onder LS PO</dc:title>
  <dc:creator>Keizer</dc:creator>
  <cp:lastModifiedBy>Hans Schwartz</cp:lastModifiedBy>
  <cp:lastPrinted>2022-02-21T10:15:45Z</cp:lastPrinted>
  <dcterms:created xsi:type="dcterms:W3CDTF">2002-04-23T20:54:25Z</dcterms:created>
  <dcterms:modified xsi:type="dcterms:W3CDTF">2025-02-10T16:36:19Z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0x01010086B785A11AD4EA46A393B0A0D76A7FE1</vt:lpwstr>
  </property>
</Properties>
</file>